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66925"/>
  <mc:AlternateContent xmlns:mc="http://schemas.openxmlformats.org/markup-compatibility/2006">
    <mc:Choice Requires="x15">
      <x15ac:absPath xmlns:x15ac="http://schemas.microsoft.com/office/spreadsheetml/2010/11/ac" url="\\Truenas\lg\Content\Sangita_Dey\1. Content\1. Course\FRM P1\Performance Tracker\2025\Student Version\"/>
    </mc:Choice>
  </mc:AlternateContent>
  <xr:revisionPtr revIDLastSave="0" documentId="8_{0E8E6EB6-3998-492A-88D2-D30AF50300B6}" xr6:coauthVersionLast="47" xr6:coauthVersionMax="47" xr10:uidLastSave="{00000000-0000-0000-0000-000000000000}"/>
  <bookViews>
    <workbookView xWindow="-120" yWindow="-120" windowWidth="29040" windowHeight="15720" tabRatio="765" activeTab="3" xr2:uid="{00000000-000D-0000-FFFF-FFFF00000000}"/>
  </bookViews>
  <sheets>
    <sheet name="📝 Instructions" sheetId="1" r:id="rId1"/>
    <sheet name="⏱ Input" sheetId="2" r:id="rId2"/>
    <sheet name="📊 Progress" sheetId="5" r:id="rId3"/>
    <sheet name="📊 Summary" sheetId="10" r:id="rId4"/>
    <sheet name="Working" sheetId="8" state="veryHidden" r:id="rId5"/>
  </sheets>
  <definedNames>
    <definedName name="Message">CONCATENATE('📝 Instructions'!XER1048576,", you have ",CHAR(10),Working!XER12," days to complete ",Working!XER10," chapters &amp; ",TEXT(Working!XER15,"[h]")," hrs of lectures.",CHAR(10),"For this you must study for ",TEXT(Working!XEO29,"[h]:mm")," hrs and ",TEXT(Working!XEO30,"[h]:mm")," hrs respectively on weekdays &amp; weekends.")</definedName>
    <definedName name="_xlnm.Print_Area" localSheetId="2">'📊 Progress'!$C$2:$L$3</definedName>
    <definedName name="_xlnm.Print_Area" localSheetId="3">'📊 Summary'!$B$1:$W$47</definedName>
    <definedName name="Risk_Tolerance">#REF!</definedName>
    <definedName name="Slicer_Subject">#N/A</definedName>
    <definedName name="Start_Date">#REF!</definedName>
    <definedName name="valuevx">42.314159</definedName>
    <definedName name="vertex42_copyright" hidden="1">"© 2017 Vertex42 LLC"</definedName>
    <definedName name="vertex42_id" hidden="1">"bubble-chart-timeline.xlsx"</definedName>
    <definedName name="vertex42_title" hidden="1">"Bubble Chart Timeline Template"</definedName>
  </definedNames>
  <calcPr calcId="191029"/>
  <pivotCaches>
    <pivotCache cacheId="10" r:id="rId6"/>
  </pivotCaches>
  <fileRecoveryPr autoRecover="0"/>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5" i="2" l="1"/>
  <c r="AE65" i="2"/>
  <c r="AF65" i="2" s="1"/>
  <c r="AG65" i="2"/>
  <c r="AH65" i="2"/>
  <c r="AD65" i="2"/>
  <c r="AD35" i="2"/>
  <c r="AD36" i="2"/>
  <c r="AD42" i="2"/>
  <c r="AD37" i="2"/>
  <c r="AD33" i="2"/>
  <c r="AD9" i="2"/>
  <c r="AD46" i="2"/>
  <c r="AD47" i="2"/>
  <c r="AD50" i="2"/>
  <c r="AD52" i="2"/>
  <c r="AD38" i="2"/>
  <c r="AD53" i="2"/>
  <c r="AD58" i="2"/>
  <c r="AD59" i="2"/>
  <c r="AD31" i="2"/>
  <c r="AD23" i="2"/>
  <c r="AD24" i="2"/>
  <c r="AD48" i="2"/>
  <c r="AD49" i="2"/>
  <c r="AD16" i="2"/>
  <c r="AD17" i="2"/>
  <c r="AD44" i="2"/>
  <c r="AD57" i="2"/>
  <c r="AD54" i="2"/>
  <c r="AD55" i="2"/>
  <c r="AD13" i="2"/>
  <c r="AD11" i="2"/>
  <c r="AD39" i="2"/>
  <c r="AD40" i="2"/>
  <c r="AD12" i="2"/>
  <c r="AD56" i="2"/>
  <c r="AD21" i="2"/>
  <c r="AD19" i="2"/>
  <c r="AD14" i="2"/>
  <c r="AD15" i="2"/>
  <c r="AD25" i="2"/>
  <c r="AD22" i="2"/>
  <c r="AD18" i="2"/>
  <c r="AD10" i="2"/>
  <c r="AD26" i="2"/>
  <c r="AD27" i="2"/>
  <c r="AD45" i="2"/>
  <c r="AD41" i="2"/>
  <c r="AD29" i="2"/>
  <c r="AD30" i="2"/>
  <c r="AD63" i="2"/>
  <c r="AD34" i="2"/>
  <c r="AD20" i="2"/>
  <c r="AD64" i="2"/>
  <c r="AD32" i="2"/>
  <c r="AD60" i="2"/>
  <c r="AD61" i="2"/>
  <c r="AD62" i="2"/>
  <c r="AD43" i="2"/>
  <c r="AD51" i="2"/>
  <c r="AD28" i="2"/>
  <c r="D47" i="8" l="1"/>
  <c r="F16" i="8"/>
  <c r="D16" i="8"/>
  <c r="L36" i="5"/>
  <c r="L35" i="5"/>
  <c r="L34" i="5"/>
  <c r="L33" i="5"/>
  <c r="J34" i="5"/>
  <c r="J35" i="5"/>
  <c r="J36" i="5"/>
  <c r="J33" i="5"/>
  <c r="I34" i="5"/>
  <c r="I35" i="5"/>
  <c r="I36" i="5"/>
  <c r="I33" i="5"/>
  <c r="H34" i="5"/>
  <c r="H35" i="5"/>
  <c r="H36" i="5"/>
  <c r="H33" i="5"/>
  <c r="G34" i="5"/>
  <c r="G35" i="5"/>
  <c r="G36" i="5"/>
  <c r="G33" i="5"/>
  <c r="F35" i="5"/>
  <c r="F36" i="5"/>
  <c r="F34" i="5"/>
  <c r="F33" i="5"/>
  <c r="AA5" i="2"/>
  <c r="Z5" i="2"/>
  <c r="Y5" i="2"/>
  <c r="X5" i="2"/>
  <c r="W5" i="2"/>
  <c r="V5" i="2"/>
  <c r="W4" i="2"/>
  <c r="X4" i="2"/>
  <c r="Y4" i="2"/>
  <c r="Z4" i="2"/>
  <c r="AA4" i="2"/>
  <c r="V4" i="2"/>
  <c r="AH10" i="2" l="1"/>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9" i="2"/>
  <c r="AG10" i="2"/>
  <c r="AG11" i="2"/>
  <c r="AG12" i="2"/>
  <c r="AG13" i="2"/>
  <c r="AG14" i="2"/>
  <c r="AG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9" i="2"/>
  <c r="G35" i="2" l="1"/>
  <c r="G36" i="2"/>
  <c r="AE35" i="2"/>
  <c r="AF35" i="2" s="1"/>
  <c r="AE36" i="2"/>
  <c r="AF36" i="2" s="1"/>
  <c r="R33" i="5"/>
  <c r="R34" i="5"/>
  <c r="R35" i="5"/>
  <c r="R36" i="5"/>
  <c r="B5" i="5"/>
  <c r="J32" i="5"/>
  <c r="H32" i="5"/>
  <c r="G32" i="5"/>
  <c r="C10" i="8"/>
  <c r="F18" i="8" s="1"/>
  <c r="F21" i="8"/>
  <c r="D22" i="8"/>
  <c r="D21" i="8"/>
  <c r="D18" i="8"/>
  <c r="C16" i="8"/>
  <c r="C18" i="8"/>
  <c r="C17" i="8" s="1"/>
  <c r="C19" i="8" s="1"/>
  <c r="T4" i="2"/>
  <c r="G9" i="2"/>
  <c r="G46" i="2"/>
  <c r="G47" i="2"/>
  <c r="G48" i="2"/>
  <c r="G49" i="2"/>
  <c r="G50" i="2"/>
  <c r="G52" i="2"/>
  <c r="G16" i="2"/>
  <c r="G17" i="2"/>
  <c r="G44" i="2"/>
  <c r="G38" i="2"/>
  <c r="G53" i="2"/>
  <c r="G54" i="2"/>
  <c r="G55" i="2"/>
  <c r="G10" i="2"/>
  <c r="G11" i="2"/>
  <c r="G39" i="2"/>
  <c r="G40" i="2"/>
  <c r="G12" i="2"/>
  <c r="G56" i="2"/>
  <c r="G57" i="2"/>
  <c r="G58" i="2"/>
  <c r="G59" i="2"/>
  <c r="G31" i="2"/>
  <c r="G23" i="2"/>
  <c r="G24" i="2"/>
  <c r="G13" i="2"/>
  <c r="G21" i="2"/>
  <c r="G22" i="2"/>
  <c r="G18" i="2"/>
  <c r="G19" i="2"/>
  <c r="G14" i="2"/>
  <c r="G15" i="2"/>
  <c r="G25" i="2"/>
  <c r="G26" i="2"/>
  <c r="G45" i="2"/>
  <c r="G41" i="2"/>
  <c r="G51" i="2"/>
  <c r="G27" i="2"/>
  <c r="G28" i="2"/>
  <c r="G29" i="2"/>
  <c r="G30" i="2"/>
  <c r="G34" i="2"/>
  <c r="G20" i="2"/>
  <c r="G64" i="2"/>
  <c r="G63" i="2"/>
  <c r="G32" i="2"/>
  <c r="G60" i="2"/>
  <c r="G61" i="2"/>
  <c r="G62" i="2"/>
  <c r="G43" i="2"/>
  <c r="G42" i="2"/>
  <c r="G37" i="2"/>
  <c r="G33" i="2"/>
  <c r="T5" i="2"/>
  <c r="D54" i="8" s="1"/>
  <c r="AE42" i="2"/>
  <c r="AF42" i="2" s="1"/>
  <c r="AE37" i="2"/>
  <c r="AF37" i="2" s="1"/>
  <c r="AE33" i="2"/>
  <c r="AF33" i="2" s="1"/>
  <c r="F13" i="1"/>
  <c r="C21" i="1"/>
  <c r="O36" i="5"/>
  <c r="E36" i="5"/>
  <c r="D36" i="5"/>
  <c r="E35" i="5"/>
  <c r="D35" i="5"/>
  <c r="E34" i="5"/>
  <c r="D34" i="5"/>
  <c r="O33" i="5"/>
  <c r="E33" i="5"/>
  <c r="D33" i="5"/>
  <c r="I32" i="5"/>
  <c r="E7" i="8"/>
  <c r="K7" i="8" s="1"/>
  <c r="E4" i="8"/>
  <c r="G3" i="8"/>
  <c r="E3" i="8"/>
  <c r="AE9" i="2"/>
  <c r="AF9" i="2" s="1"/>
  <c r="AE46" i="2"/>
  <c r="AF46" i="2" s="1"/>
  <c r="AE47" i="2"/>
  <c r="AF47" i="2" s="1"/>
  <c r="AE50" i="2"/>
  <c r="AF50" i="2" s="1"/>
  <c r="AE52" i="2"/>
  <c r="AF52" i="2" s="1"/>
  <c r="AE38" i="2"/>
  <c r="AF38" i="2" s="1"/>
  <c r="AE53" i="2"/>
  <c r="AF53" i="2" s="1"/>
  <c r="AE58" i="2"/>
  <c r="AF58" i="2" s="1"/>
  <c r="AE59" i="2"/>
  <c r="AF59" i="2" s="1"/>
  <c r="AE31" i="2"/>
  <c r="AF31" i="2" s="1"/>
  <c r="AE23" i="2"/>
  <c r="AF23" i="2" s="1"/>
  <c r="AE24" i="2"/>
  <c r="AF24" i="2" s="1"/>
  <c r="AE48" i="2"/>
  <c r="AF48" i="2" s="1"/>
  <c r="AE49" i="2"/>
  <c r="AF49" i="2" s="1"/>
  <c r="AE16" i="2"/>
  <c r="AF16" i="2" s="1"/>
  <c r="AE17" i="2"/>
  <c r="AF17" i="2" s="1"/>
  <c r="AE44" i="2"/>
  <c r="AF44" i="2" s="1"/>
  <c r="AE57" i="2"/>
  <c r="AF57" i="2" s="1"/>
  <c r="AE54" i="2"/>
  <c r="AF54" i="2" s="1"/>
  <c r="AE55" i="2"/>
  <c r="AF55" i="2" s="1"/>
  <c r="AE13" i="2"/>
  <c r="AF13" i="2" s="1"/>
  <c r="AE11" i="2"/>
  <c r="AF11" i="2" s="1"/>
  <c r="AE39" i="2"/>
  <c r="AF39" i="2" s="1"/>
  <c r="AE40" i="2"/>
  <c r="AF40" i="2" s="1"/>
  <c r="AE12" i="2"/>
  <c r="AF12" i="2" s="1"/>
  <c r="AE56" i="2"/>
  <c r="AF56" i="2" s="1"/>
  <c r="AE21" i="2"/>
  <c r="AF21" i="2" s="1"/>
  <c r="AE19" i="2"/>
  <c r="AF19" i="2" s="1"/>
  <c r="AE14" i="2"/>
  <c r="AF14" i="2" s="1"/>
  <c r="AE15" i="2"/>
  <c r="AF15" i="2" s="1"/>
  <c r="AE25" i="2"/>
  <c r="AF25" i="2" s="1"/>
  <c r="AE22" i="2"/>
  <c r="AF22" i="2" s="1"/>
  <c r="AE18" i="2"/>
  <c r="AF18" i="2" s="1"/>
  <c r="AE10" i="2"/>
  <c r="AF10" i="2" s="1"/>
  <c r="AE26" i="2"/>
  <c r="AF26" i="2" s="1"/>
  <c r="AE27" i="2"/>
  <c r="AF27" i="2" s="1"/>
  <c r="AE45" i="2"/>
  <c r="AF45" i="2" s="1"/>
  <c r="AE41" i="2"/>
  <c r="AF41" i="2" s="1"/>
  <c r="AE29" i="2"/>
  <c r="AF29" i="2" s="1"/>
  <c r="AE30" i="2"/>
  <c r="AF30" i="2" s="1"/>
  <c r="AE63" i="2"/>
  <c r="AF63" i="2" s="1"/>
  <c r="AE34" i="2"/>
  <c r="AF34" i="2" s="1"/>
  <c r="AE20" i="2"/>
  <c r="AF20" i="2" s="1"/>
  <c r="AE64" i="2"/>
  <c r="AF64" i="2" s="1"/>
  <c r="AE32" i="2"/>
  <c r="AF32" i="2" s="1"/>
  <c r="AE60" i="2"/>
  <c r="AF60" i="2" s="1"/>
  <c r="AE61" i="2"/>
  <c r="AF61" i="2" s="1"/>
  <c r="AE62" i="2"/>
  <c r="AF62" i="2" s="1"/>
  <c r="AE43" i="2"/>
  <c r="AF43" i="2" s="1"/>
  <c r="AE51" i="2"/>
  <c r="AF51" i="2" s="1"/>
  <c r="AE28" i="2"/>
  <c r="AF28" i="2" s="1"/>
  <c r="K37" i="5"/>
  <c r="AB2" i="2"/>
  <c r="T6" i="2"/>
  <c r="M6" i="2"/>
  <c r="S6" i="2"/>
  <c r="R6" i="2"/>
  <c r="Q6" i="2"/>
  <c r="P6" i="2"/>
  <c r="O6" i="2"/>
  <c r="N6" i="2"/>
  <c r="V36" i="5"/>
  <c r="V35" i="5"/>
  <c r="V34" i="5"/>
  <c r="V33" i="5"/>
  <c r="D61" i="8"/>
  <c r="U64" i="2" l="1"/>
  <c r="U65" i="2"/>
  <c r="F64" i="2"/>
  <c r="F65" i="2"/>
  <c r="C21" i="8"/>
  <c r="D56" i="8" s="1"/>
  <c r="F9" i="2"/>
  <c r="U38" i="2"/>
  <c r="U13" i="2"/>
  <c r="P35" i="5"/>
  <c r="AA35" i="5"/>
  <c r="F7" i="8"/>
  <c r="I3" i="8" s="1"/>
  <c r="E6" i="8"/>
  <c r="E5" i="8" s="1"/>
  <c r="K5" i="8" s="1"/>
  <c r="F30" i="2"/>
  <c r="F29" i="2"/>
  <c r="F28" i="2"/>
  <c r="AA36" i="5"/>
  <c r="U14" i="2"/>
  <c r="U21" i="2"/>
  <c r="U59" i="2"/>
  <c r="U50" i="2"/>
  <c r="U26" i="2"/>
  <c r="U23" i="2"/>
  <c r="C3" i="8"/>
  <c r="U53" i="2"/>
  <c r="U28" i="2"/>
  <c r="U33" i="2"/>
  <c r="U44" i="2"/>
  <c r="U43" i="2"/>
  <c r="U19" i="2"/>
  <c r="U30" i="2"/>
  <c r="U60" i="2"/>
  <c r="U57" i="2"/>
  <c r="U22" i="2"/>
  <c r="U58" i="2"/>
  <c r="U55" i="2"/>
  <c r="J4" i="8"/>
  <c r="U11" i="2"/>
  <c r="U17" i="2"/>
  <c r="U40" i="2"/>
  <c r="U20" i="2"/>
  <c r="U45" i="2"/>
  <c r="F31" i="2"/>
  <c r="U46" i="2"/>
  <c r="U18" i="2"/>
  <c r="U49" i="2"/>
  <c r="U56" i="2"/>
  <c r="U42" i="2"/>
  <c r="U63" i="2"/>
  <c r="K3" i="8"/>
  <c r="O35" i="5"/>
  <c r="U27" i="2"/>
  <c r="U29" i="2"/>
  <c r="U37" i="2"/>
  <c r="U54" i="2"/>
  <c r="U10" i="2"/>
  <c r="U12" i="2"/>
  <c r="U47" i="2"/>
  <c r="U9" i="2"/>
  <c r="U32" i="2"/>
  <c r="U25" i="2"/>
  <c r="C4" i="8"/>
  <c r="U15" i="2"/>
  <c r="U62" i="2"/>
  <c r="U61" i="2"/>
  <c r="D58" i="8"/>
  <c r="C58" i="8" s="1"/>
  <c r="U39" i="2"/>
  <c r="U52" i="2"/>
  <c r="U16" i="2"/>
  <c r="U51" i="2"/>
  <c r="U48" i="2"/>
  <c r="U24" i="2"/>
  <c r="U41" i="2"/>
  <c r="U34" i="2"/>
  <c r="U31" i="2"/>
  <c r="U5" i="2"/>
  <c r="M34" i="5"/>
  <c r="N34" i="5" s="1"/>
  <c r="AA34" i="5"/>
  <c r="P36" i="5"/>
  <c r="D51" i="8"/>
  <c r="C51" i="8" s="1"/>
  <c r="P34" i="5"/>
  <c r="D65" i="8"/>
  <c r="C65" i="8" s="1"/>
  <c r="U36" i="2"/>
  <c r="U35" i="2"/>
  <c r="AC34" i="5"/>
  <c r="S34" i="5"/>
  <c r="Q34" i="5"/>
  <c r="F36" i="2"/>
  <c r="F35" i="2"/>
  <c r="G37" i="5"/>
  <c r="M33" i="5"/>
  <c r="Y33" i="5" s="1"/>
  <c r="O34" i="5"/>
  <c r="S36" i="5"/>
  <c r="M36" i="5"/>
  <c r="Y36" i="5" s="1"/>
  <c r="W34" i="5"/>
  <c r="D37" i="5"/>
  <c r="F22" i="2"/>
  <c r="F53" i="2"/>
  <c r="F13" i="2"/>
  <c r="S35" i="5"/>
  <c r="AC35" i="5"/>
  <c r="F14" i="2"/>
  <c r="F59" i="2"/>
  <c r="Q33" i="5"/>
  <c r="AC36" i="5"/>
  <c r="H37" i="5"/>
  <c r="W35" i="5"/>
  <c r="F49" i="2"/>
  <c r="F45" i="2"/>
  <c r="J37" i="5"/>
  <c r="Q35" i="5"/>
  <c r="F56" i="2"/>
  <c r="AC33" i="5"/>
  <c r="L37" i="5"/>
  <c r="F41" i="2"/>
  <c r="F58" i="2"/>
  <c r="F24" i="2"/>
  <c r="G21" i="8"/>
  <c r="F48" i="2"/>
  <c r="W33" i="5"/>
  <c r="G16" i="8"/>
  <c r="K36" i="5"/>
  <c r="AE36" i="5" s="1"/>
  <c r="W36" i="5"/>
  <c r="F39" i="2"/>
  <c r="I37" i="5"/>
  <c r="F42" i="2"/>
  <c r="AB5" i="2"/>
  <c r="F15" i="2"/>
  <c r="F40" i="2"/>
  <c r="F33" i="2"/>
  <c r="E37" i="5"/>
  <c r="P33" i="5"/>
  <c r="AA33" i="5"/>
  <c r="F10" i="2"/>
  <c r="F47" i="2"/>
  <c r="F60" i="2"/>
  <c r="F19" i="2"/>
  <c r="F46" i="2"/>
  <c r="F37" i="2"/>
  <c r="F37" i="5"/>
  <c r="C12" i="8"/>
  <c r="M35" i="5"/>
  <c r="Y35" i="5" s="1"/>
  <c r="K34" i="5"/>
  <c r="AE34" i="5" s="1"/>
  <c r="F63" i="2"/>
  <c r="F23" i="2"/>
  <c r="F44" i="2"/>
  <c r="F22" i="8"/>
  <c r="F54" i="2"/>
  <c r="F18" i="2"/>
  <c r="D20" i="8"/>
  <c r="K33" i="5"/>
  <c r="AE33" i="5" s="1"/>
  <c r="K35" i="5"/>
  <c r="AE35" i="5" s="1"/>
  <c r="F57" i="2"/>
  <c r="F32" i="2"/>
  <c r="F62" i="2"/>
  <c r="F21" i="2"/>
  <c r="F51" i="2"/>
  <c r="F17" i="2"/>
  <c r="F20" i="2"/>
  <c r="C39" i="8"/>
  <c r="Q36" i="5"/>
  <c r="S33" i="5"/>
  <c r="F11" i="2"/>
  <c r="F43" i="2"/>
  <c r="F25" i="2"/>
  <c r="F52" i="2"/>
  <c r="F55" i="2"/>
  <c r="F61" i="2"/>
  <c r="D29" i="8"/>
  <c r="I29" i="10" s="1"/>
  <c r="F38" i="2"/>
  <c r="F27" i="2"/>
  <c r="F12" i="2"/>
  <c r="F16" i="2"/>
  <c r="F34" i="2"/>
  <c r="F50" i="2"/>
  <c r="F26" i="2"/>
  <c r="D48" i="8"/>
  <c r="C29" i="8"/>
  <c r="I30" i="10" s="1"/>
  <c r="D17" i="8"/>
  <c r="D19" i="8" s="1"/>
  <c r="F4" i="8"/>
  <c r="I4" i="8" s="1"/>
  <c r="D49" i="8"/>
  <c r="K4" i="8"/>
  <c r="D32" i="8"/>
  <c r="Q29" i="10" s="1"/>
  <c r="E16" i="8"/>
  <c r="F31" i="8"/>
  <c r="F29" i="8"/>
  <c r="F17" i="8"/>
  <c r="C22" i="8"/>
  <c r="D31" i="8"/>
  <c r="C11" i="8"/>
  <c r="C24" i="8"/>
  <c r="G30" i="10" s="1"/>
  <c r="C26" i="8" l="1"/>
  <c r="C31" i="8"/>
  <c r="M30" i="10" s="1"/>
  <c r="E21" i="8"/>
  <c r="C20" i="8"/>
  <c r="E20" i="8" s="1"/>
  <c r="D55" i="8"/>
  <c r="C55" i="8" s="1"/>
  <c r="E55" i="8" s="1"/>
  <c r="J5" i="8"/>
  <c r="H4" i="8"/>
  <c r="G4" i="8" s="1"/>
  <c r="I7" i="8"/>
  <c r="J7" i="8"/>
  <c r="J6" i="8"/>
  <c r="K6" i="8"/>
  <c r="F6" i="8"/>
  <c r="I6" i="8" s="1"/>
  <c r="F5" i="8"/>
  <c r="I5" i="8" s="1"/>
  <c r="H5" i="8" s="1"/>
  <c r="G5" i="8" s="1"/>
  <c r="C5" i="8"/>
  <c r="C6" i="8" s="1"/>
  <c r="C47" i="8"/>
  <c r="E47" i="8" s="1"/>
  <c r="C54" i="8"/>
  <c r="E54" i="8" s="1"/>
  <c r="Y34" i="5"/>
  <c r="C61" i="8"/>
  <c r="E61" i="8" s="1"/>
  <c r="C48" i="8"/>
  <c r="E48" i="8" s="1"/>
  <c r="C49" i="8"/>
  <c r="E49" i="8" s="1"/>
  <c r="D72" i="8"/>
  <c r="C72" i="8" s="1"/>
  <c r="P37" i="5"/>
  <c r="N36" i="5"/>
  <c r="N33" i="5"/>
  <c r="C40" i="8"/>
  <c r="C41" i="8" s="1"/>
  <c r="C42" i="8" s="1"/>
  <c r="F20" i="8"/>
  <c r="G20" i="8" s="1"/>
  <c r="G22" i="8"/>
  <c r="F32" i="8"/>
  <c r="F30" i="8" s="1"/>
  <c r="N35" i="5"/>
  <c r="D68" i="8"/>
  <c r="E29" i="8"/>
  <c r="D24" i="8"/>
  <c r="G29" i="10" s="1"/>
  <c r="D26" i="8"/>
  <c r="C56" i="8"/>
  <c r="E56" i="8" s="1"/>
  <c r="D57" i="8"/>
  <c r="C57" i="8" s="1"/>
  <c r="E57" i="8" s="1"/>
  <c r="D27" i="8"/>
  <c r="O29" i="10" s="1"/>
  <c r="D50" i="8"/>
  <c r="C50" i="8" s="1"/>
  <c r="E50" i="8" s="1"/>
  <c r="K30" i="10"/>
  <c r="F24" i="8"/>
  <c r="F19" i="8"/>
  <c r="C8" i="8"/>
  <c r="D65" i="2" s="1"/>
  <c r="F26" i="8"/>
  <c r="F27" i="8"/>
  <c r="C32" i="8"/>
  <c r="D62" i="8"/>
  <c r="C62" i="8" s="1"/>
  <c r="E62" i="8" s="1"/>
  <c r="C27" i="8"/>
  <c r="O30" i="10" s="1"/>
  <c r="E22" i="8"/>
  <c r="D63" i="8"/>
  <c r="G29" i="8"/>
  <c r="I32" i="10"/>
  <c r="M32" i="10"/>
  <c r="G31" i="8"/>
  <c r="M29" i="10"/>
  <c r="U29" i="10" s="1"/>
  <c r="E31" i="8"/>
  <c r="D30" i="8"/>
  <c r="D69" i="8" l="1"/>
  <c r="H7" i="8"/>
  <c r="G7" i="8" s="1"/>
  <c r="D70" i="8"/>
  <c r="D71" i="8" s="1"/>
  <c r="C71" i="8" s="1"/>
  <c r="E71" i="8" s="1"/>
  <c r="H6" i="8"/>
  <c r="G6" i="8" s="1"/>
  <c r="D9" i="2"/>
  <c r="E9" i="2" s="1"/>
  <c r="D17" i="2"/>
  <c r="D25" i="2"/>
  <c r="D33" i="2"/>
  <c r="D41" i="2"/>
  <c r="D49" i="2"/>
  <c r="D57" i="2"/>
  <c r="D10" i="2"/>
  <c r="D18" i="2"/>
  <c r="D26" i="2"/>
  <c r="D34" i="2"/>
  <c r="D42" i="2"/>
  <c r="D50" i="2"/>
  <c r="D58" i="2"/>
  <c r="D11" i="2"/>
  <c r="D19" i="2"/>
  <c r="D27" i="2"/>
  <c r="D35" i="2"/>
  <c r="D43" i="2"/>
  <c r="D51" i="2"/>
  <c r="D59" i="2"/>
  <c r="D12" i="2"/>
  <c r="D20" i="2"/>
  <c r="D28" i="2"/>
  <c r="D36" i="2"/>
  <c r="D44" i="2"/>
  <c r="D52" i="2"/>
  <c r="D60" i="2"/>
  <c r="D13" i="2"/>
  <c r="D21" i="2"/>
  <c r="D29" i="2"/>
  <c r="D37" i="2"/>
  <c r="D45" i="2"/>
  <c r="D53" i="2"/>
  <c r="D61" i="2"/>
  <c r="D14" i="2"/>
  <c r="D22" i="2"/>
  <c r="D30" i="2"/>
  <c r="D38" i="2"/>
  <c r="D46" i="2"/>
  <c r="D54" i="2"/>
  <c r="D62" i="2"/>
  <c r="D15" i="2"/>
  <c r="D23" i="2"/>
  <c r="D31" i="2"/>
  <c r="D39" i="2"/>
  <c r="D47" i="2"/>
  <c r="D55" i="2"/>
  <c r="D63" i="2"/>
  <c r="D16" i="2"/>
  <c r="D24" i="2"/>
  <c r="D32" i="2"/>
  <c r="D40" i="2"/>
  <c r="D48" i="2"/>
  <c r="D56" i="2"/>
  <c r="D64" i="2"/>
  <c r="E65" i="2" s="1"/>
  <c r="C69" i="8"/>
  <c r="E69" i="8" s="1"/>
  <c r="C68" i="8"/>
  <c r="E68" i="8" s="1"/>
  <c r="Q32" i="10"/>
  <c r="U32" i="10" s="1"/>
  <c r="G32" i="8"/>
  <c r="D25" i="8"/>
  <c r="S30" i="10"/>
  <c r="E24" i="8"/>
  <c r="G31" i="10" s="1"/>
  <c r="H8" i="8"/>
  <c r="E26" i="8"/>
  <c r="K31" i="10" s="1"/>
  <c r="K29" i="10"/>
  <c r="S29" i="10" s="1"/>
  <c r="G30" i="8"/>
  <c r="G27" i="8"/>
  <c r="O33" i="10" s="1"/>
  <c r="O32" i="10"/>
  <c r="D64" i="8"/>
  <c r="C64" i="8" s="1"/>
  <c r="E64" i="8" s="1"/>
  <c r="C63" i="8"/>
  <c r="E63" i="8" s="1"/>
  <c r="K32" i="10"/>
  <c r="F25" i="8"/>
  <c r="G26" i="8"/>
  <c r="K33" i="10" s="1"/>
  <c r="C36" i="8"/>
  <c r="C35" i="8"/>
  <c r="C70" i="8"/>
  <c r="E70" i="8" s="1"/>
  <c r="Q30" i="10"/>
  <c r="U30" i="10" s="1"/>
  <c r="C30" i="8"/>
  <c r="E30" i="8" s="1"/>
  <c r="E32" i="8"/>
  <c r="G32" i="10"/>
  <c r="G24" i="8"/>
  <c r="G33" i="10" s="1"/>
  <c r="E27" i="8"/>
  <c r="O31" i="10" s="1"/>
  <c r="C25" i="8"/>
  <c r="C65" i="2" l="1"/>
  <c r="E56" i="2"/>
  <c r="E15" i="2"/>
  <c r="E46" i="2"/>
  <c r="E21" i="2"/>
  <c r="E62" i="2"/>
  <c r="E45" i="2"/>
  <c r="E63" i="2"/>
  <c r="E13" i="2"/>
  <c r="E40" i="2"/>
  <c r="E37" i="2"/>
  <c r="E61" i="2"/>
  <c r="E54" i="2"/>
  <c r="E64" i="2"/>
  <c r="E14" i="2"/>
  <c r="E55" i="2"/>
  <c r="E22" i="2"/>
  <c r="E23" i="2"/>
  <c r="E48" i="2"/>
  <c r="E47" i="2"/>
  <c r="E30" i="2"/>
  <c r="E24" i="2"/>
  <c r="E39" i="2"/>
  <c r="E31" i="2"/>
  <c r="E29" i="2"/>
  <c r="E53" i="2"/>
  <c r="E28" i="2"/>
  <c r="E16" i="2"/>
  <c r="E35" i="2"/>
  <c r="E44" i="2"/>
  <c r="E51" i="2"/>
  <c r="E58" i="2"/>
  <c r="E42" i="2"/>
  <c r="E38" i="2"/>
  <c r="E32" i="2"/>
  <c r="E12" i="2"/>
  <c r="E19" i="2"/>
  <c r="E26" i="2"/>
  <c r="E36" i="2"/>
  <c r="E43" i="2"/>
  <c r="E50" i="2"/>
  <c r="E11" i="2"/>
  <c r="E18" i="2"/>
  <c r="E10" i="2"/>
  <c r="E57" i="2"/>
  <c r="E49" i="2"/>
  <c r="E20" i="2"/>
  <c r="E27" i="2"/>
  <c r="E34" i="2"/>
  <c r="E41" i="2"/>
  <c r="E33" i="2"/>
  <c r="E25" i="2"/>
  <c r="E60" i="2"/>
  <c r="E17" i="2"/>
  <c r="E52" i="2"/>
  <c r="E59" i="2"/>
  <c r="C40" i="2"/>
  <c r="C39" i="2"/>
  <c r="C48" i="2"/>
  <c r="C47" i="2"/>
  <c r="C46" i="2"/>
  <c r="C45" i="2"/>
  <c r="C44" i="2"/>
  <c r="C51" i="2"/>
  <c r="C58" i="2"/>
  <c r="C36" i="2"/>
  <c r="C30" i="2"/>
  <c r="C29" i="2"/>
  <c r="C28" i="2"/>
  <c r="C35" i="2"/>
  <c r="C42" i="2"/>
  <c r="C49" i="2"/>
  <c r="C43" i="2"/>
  <c r="C32" i="2"/>
  <c r="C24" i="2"/>
  <c r="C23" i="2"/>
  <c r="C22" i="2"/>
  <c r="C21" i="2"/>
  <c r="C20" i="2"/>
  <c r="C27" i="2"/>
  <c r="C34" i="2"/>
  <c r="C41" i="2"/>
  <c r="C37" i="2"/>
  <c r="C57" i="2"/>
  <c r="C31" i="2"/>
  <c r="C16" i="2"/>
  <c r="C15" i="2"/>
  <c r="C14" i="2"/>
  <c r="C13" i="2"/>
  <c r="C12" i="2"/>
  <c r="C19" i="2"/>
  <c r="C26" i="2"/>
  <c r="C33" i="2"/>
  <c r="C38" i="2"/>
  <c r="C50" i="2"/>
  <c r="C11" i="2"/>
  <c r="C18" i="2"/>
  <c r="C25" i="2"/>
  <c r="C64" i="2"/>
  <c r="C63" i="2"/>
  <c r="C62" i="2"/>
  <c r="C61" i="2"/>
  <c r="C60" i="2"/>
  <c r="C10" i="2"/>
  <c r="C17" i="2"/>
  <c r="C56" i="2"/>
  <c r="C55" i="2"/>
  <c r="C54" i="2"/>
  <c r="C53" i="2"/>
  <c r="C52" i="2"/>
  <c r="C59" i="2"/>
  <c r="C9" i="2"/>
  <c r="E25" i="8"/>
  <c r="S31" i="10" s="1"/>
  <c r="G25" i="8"/>
  <c r="S33" i="10" s="1"/>
  <c r="S7" i="10"/>
  <c r="S3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I12" authorId="0" shapeId="0" xr:uid="{51B04755-3D61-4217-ABA4-316ADEF6CCBD}">
      <text>
        <r>
          <rPr>
            <b/>
            <sz val="9"/>
            <color indexed="81"/>
            <rFont val="Tw Cen MT"/>
            <family val="2"/>
          </rPr>
          <t>Aswini Bajaj:</t>
        </r>
        <r>
          <rPr>
            <sz val="9"/>
            <color indexed="81"/>
            <rFont val="Tw Cen MT"/>
            <family val="2"/>
          </rPr>
          <t xml:space="preserve">
You can change this to 0. However we would recommend you to keep atleast 3-4 days for any delays that might occur.</t>
        </r>
      </text>
    </comment>
    <comment ref="C17" authorId="0" shapeId="0" xr:uid="{C41CE166-112C-49F1-9FB4-FADC6A8D76B6}">
      <text>
        <r>
          <rPr>
            <b/>
            <sz val="9"/>
            <color indexed="81"/>
            <rFont val="Tahoma"/>
            <family val="2"/>
          </rPr>
          <t xml:space="preserve">Aswini Bajaj:
</t>
        </r>
        <r>
          <rPr>
            <sz val="9"/>
            <color indexed="81"/>
            <rFont val="Tahoma"/>
            <family val="2"/>
          </rPr>
          <t>This denotes what you have actually completed.</t>
        </r>
      </text>
    </comment>
    <comment ref="C18" authorId="0" shapeId="0" xr:uid="{D23E324E-D7E6-42FE-8D35-327546EE10A3}">
      <text>
        <r>
          <rPr>
            <b/>
            <sz val="9"/>
            <color indexed="81"/>
            <rFont val="Tahoma"/>
            <family val="2"/>
          </rPr>
          <t xml:space="preserve">Aswini Bajaj:
</t>
        </r>
        <r>
          <rPr>
            <sz val="9"/>
            <color indexed="81"/>
            <rFont val="Tahoma"/>
            <family val="2"/>
          </rPr>
          <t>This denotes the extra chapters/hours that you have completed, which is over and above the expected chapters/hours according to this tracker.</t>
        </r>
      </text>
    </comment>
    <comment ref="C21" authorId="0" shapeId="0" xr:uid="{661F63CD-508D-4D1B-8162-31C93B6F8E3F}">
      <text>
        <r>
          <rPr>
            <b/>
            <sz val="9"/>
            <color indexed="81"/>
            <rFont val="Tahoma"/>
            <family val="2"/>
          </rPr>
          <t xml:space="preserve">Aswini Bajaj:
</t>
        </r>
        <r>
          <rPr>
            <sz val="9"/>
            <color indexed="81"/>
            <rFont val="Tahoma"/>
            <family val="2"/>
          </rPr>
          <t>This denotes the chapters and hours that is left for you to be done in the coming days according to the tracker.</t>
        </r>
      </text>
    </comment>
    <comment ref="C22" authorId="0" shapeId="0" xr:uid="{0A7973C2-A62B-494F-A12F-F507F1E70D27}">
      <text>
        <r>
          <rPr>
            <b/>
            <sz val="9"/>
            <color indexed="81"/>
            <rFont val="Tahoma"/>
            <family val="2"/>
          </rPr>
          <t xml:space="preserve">Aswini Bajaj:
</t>
        </r>
        <r>
          <rPr>
            <sz val="9"/>
            <color indexed="81"/>
            <rFont val="Tahoma"/>
            <family val="2"/>
          </rPr>
          <t>This denotes the extra chapters/hours that you were supposed to complete by today, but you have not done according to the tracker.</t>
        </r>
      </text>
    </comment>
    <comment ref="D30" authorId="0" shapeId="0" xr:uid="{95ADC4EA-2C6C-4AFC-9188-B76FE923C51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D31" authorId="0" shapeId="0" xr:uid="{7E50F2FF-1B6A-423E-8C18-E1731E67055C}">
      <text>
        <r>
          <rPr>
            <b/>
            <sz val="9"/>
            <color indexed="81"/>
            <rFont val="Tw Cen MT"/>
            <family val="2"/>
          </rPr>
          <t xml:space="preserve">Aswini Bajaj:
</t>
        </r>
        <r>
          <rPr>
            <sz val="9"/>
            <color indexed="81"/>
            <rFont val="Tw Cen MT"/>
            <family val="2"/>
          </rPr>
          <t>This indicates the deviation from the expected values.</t>
        </r>
        <r>
          <rPr>
            <sz val="9"/>
            <color indexed="81"/>
            <rFont val="Tahoma"/>
            <family val="2"/>
          </rPr>
          <t xml:space="preserve">
</t>
        </r>
      </text>
    </comment>
    <comment ref="D32" authorId="0" shapeId="0" xr:uid="{10A5631A-D0A9-4191-A83E-61E3149221BD}">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C11" authorId="0" shapeId="0" xr:uid="{0E062965-7B6A-46E6-9FC6-470E4171B9E6}">
      <text>
        <r>
          <rPr>
            <b/>
            <sz val="9"/>
            <color indexed="81"/>
            <rFont val="Tw Cen MT"/>
            <family val="2"/>
          </rPr>
          <t xml:space="preserve">Aswini Bajaj:
</t>
        </r>
        <r>
          <rPr>
            <sz val="9"/>
            <color indexed="81"/>
            <rFont val="Tw Cen MT"/>
            <family val="2"/>
          </rPr>
          <t xml:space="preserve">This is calculated by subracting the revision and buffer days from the total no. of days left for the exam.
</t>
        </r>
      </text>
    </comment>
    <comment ref="C12" authorId="0" shapeId="0" xr:uid="{7C383E86-EBF3-4C36-9479-C3F1F4D073A6}">
      <text>
        <r>
          <rPr>
            <b/>
            <sz val="9"/>
            <color indexed="81"/>
            <rFont val="Tw Cen MT"/>
            <family val="2"/>
          </rPr>
          <t xml:space="preserve">Aswini Bajaj:
</t>
        </r>
        <r>
          <rPr>
            <sz val="9"/>
            <color indexed="81"/>
            <rFont val="Tw Cen MT"/>
            <family val="2"/>
          </rPr>
          <t>Check the analysis below and if you think it is not sufficient, you might have to increase your daily study hours.</t>
        </r>
      </text>
    </comment>
    <comment ref="C15" authorId="0" shapeId="0" xr:uid="{ECF1682E-2420-4472-9547-9FD37160379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E15" authorId="0" shapeId="0" xr:uid="{9629F8EB-1D1C-433A-A695-1A0EDB07D541}">
      <text>
        <r>
          <rPr>
            <b/>
            <sz val="9"/>
            <color indexed="81"/>
            <rFont val="Tahoma"/>
            <family val="2"/>
          </rPr>
          <t xml:space="preserve">Aswini Bajaj:
</t>
        </r>
        <r>
          <rPr>
            <sz val="9"/>
            <color indexed="81"/>
            <rFont val="Tahoma"/>
            <family val="2"/>
          </rPr>
          <t xml:space="preserve">This indicates the deviation from the expected values.
</t>
        </r>
      </text>
    </comment>
    <comment ref="F15" authorId="0" shapeId="0" xr:uid="{5F5AA9C3-9028-4B3D-8292-0F5A7B2B03F2}">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 ref="B19" authorId="0" shapeId="0" xr:uid="{0609FC04-07FE-4D64-A85F-7BD0489447B8}">
      <text>
        <r>
          <rPr>
            <b/>
            <sz val="9"/>
            <color indexed="81"/>
            <rFont val="Tahoma"/>
            <family val="2"/>
          </rPr>
          <t xml:space="preserve">Aswini Bajaj:
</t>
        </r>
        <r>
          <rPr>
            <sz val="9"/>
            <color indexed="81"/>
            <rFont val="Tahoma"/>
            <family val="2"/>
          </rPr>
          <t xml:space="preserve">This is based on the no. of hours you had planned to study on weekday and weekends.
</t>
        </r>
      </text>
    </comment>
    <comment ref="B22" authorId="0" shapeId="0" xr:uid="{4DD4E19A-A102-493F-8B07-8BD5CAE17AF9}">
      <text>
        <r>
          <rPr>
            <b/>
            <sz val="9"/>
            <color indexed="81"/>
            <rFont val="Tahoma"/>
            <family val="2"/>
          </rPr>
          <t xml:space="preserve">Aswini Bajaj:
</t>
        </r>
        <r>
          <rPr>
            <sz val="9"/>
            <color indexed="81"/>
            <rFont val="Tahoma"/>
            <family val="2"/>
          </rPr>
          <t xml:space="preserve">This is based on the no. of hours you needed for self study and practice per chapter
</t>
        </r>
      </text>
    </comment>
    <comment ref="B28" authorId="0" shapeId="0" xr:uid="{38A0FA9C-3E21-478E-B04F-4514B748D001}">
      <text>
        <r>
          <rPr>
            <b/>
            <sz val="9"/>
            <color indexed="81"/>
            <rFont val="Tw Cen MT"/>
            <family val="2"/>
          </rPr>
          <t xml:space="preserve">Aswini Bajaj:
</t>
        </r>
        <r>
          <rPr>
            <sz val="9"/>
            <color indexed="81"/>
            <rFont val="Tw Cen MT"/>
            <family val="2"/>
          </rPr>
          <t>This is based on the weighted average [(3*5)+(8*2)] of the total no. of hours you can study on weekday and weekends.</t>
        </r>
      </text>
    </comment>
  </commentList>
</comments>
</file>

<file path=xl/sharedStrings.xml><?xml version="1.0" encoding="utf-8"?>
<sst xmlns="http://schemas.openxmlformats.org/spreadsheetml/2006/main" count="778" uniqueCount="233">
  <si>
    <t>Candidate Name:</t>
  </si>
  <si>
    <t>Date of Exam:</t>
  </si>
  <si>
    <t>Date of Beginning Preparation:</t>
  </si>
  <si>
    <t>Subject</t>
  </si>
  <si>
    <t>Reading</t>
  </si>
  <si>
    <t>Topic</t>
  </si>
  <si>
    <t>U</t>
  </si>
  <si>
    <t>Total</t>
  </si>
  <si>
    <t>Performance Review</t>
  </si>
  <si>
    <t>Hypothesis Testing</t>
  </si>
  <si>
    <t>Total Chapters</t>
  </si>
  <si>
    <t>Order of Study</t>
  </si>
  <si>
    <t>Done</t>
  </si>
  <si>
    <t>Undone</t>
  </si>
  <si>
    <t>Syllubus(D)</t>
  </si>
  <si>
    <t>Syllubus(T)</t>
  </si>
  <si>
    <t>Practice(D)</t>
  </si>
  <si>
    <t>Practice(T)</t>
  </si>
  <si>
    <t>Practice</t>
  </si>
  <si>
    <t>Done (P)</t>
  </si>
  <si>
    <t>Undone(P)</t>
  </si>
  <si>
    <t>Undone(S)</t>
  </si>
  <si>
    <t>Lectures</t>
  </si>
  <si>
    <t>Self Study</t>
  </si>
  <si>
    <t>Revision</t>
  </si>
  <si>
    <t>Cumulative (%)</t>
  </si>
  <si>
    <t>Heading</t>
  </si>
  <si>
    <t>Particulars</t>
  </si>
  <si>
    <t>Instructions</t>
  </si>
  <si>
    <t>Duration (hh:mm)</t>
  </si>
  <si>
    <t>Total Duration</t>
  </si>
  <si>
    <t>Completed</t>
  </si>
  <si>
    <t>Multiple chapters have been categorized under different subjects. It is important to understand the groupings as exam question weightages and scores are provided on a subject wise basis. You cannot leave any subject.</t>
  </si>
  <si>
    <t>You need to go through the chapter yourself to understand and learn the concepts (not mug up). You will have to refer to my notes/ Schweser/ notes depending on the lecture. This includes solving questions at the end of the chapter from Schweser. The details on preparation and studying have been covered in the “How to Study and Practice’ lecture.</t>
  </si>
  <si>
    <t>You need to do a very thorough revision of the entire curriculum. Attend the lecture ‘How to Revise’ before beginning your revision. It is not mandatory to watch revision lectures for each chapter. Please refer to the mentioned lecture to know how to revise.</t>
  </si>
  <si>
    <t>Lectures Completed (hh:mm)</t>
  </si>
  <si>
    <t>Total no. of days left for the exam</t>
  </si>
  <si>
    <t>Expected</t>
  </si>
  <si>
    <t>Actual</t>
  </si>
  <si>
    <t>Self Study Done</t>
  </si>
  <si>
    <t>From Today Till Revision</t>
  </si>
  <si>
    <t>Target</t>
  </si>
  <si>
    <t>From Beginning Till Date</t>
  </si>
  <si>
    <t>Total hours available for preparation according to your daily study hours</t>
  </si>
  <si>
    <t>Input Sheet</t>
  </si>
  <si>
    <t>Total Number of Chapters</t>
  </si>
  <si>
    <t>LABEL</t>
  </si>
  <si>
    <t>YEAR</t>
  </si>
  <si>
    <t>%</t>
  </si>
  <si>
    <t>Difference</t>
  </si>
  <si>
    <t>No. of days</t>
  </si>
  <si>
    <t>Diff %</t>
  </si>
  <si>
    <t>Cum. Diff</t>
  </si>
  <si>
    <t>No. of days remaining for lectures and self study</t>
  </si>
  <si>
    <t>lectures</t>
  </si>
  <si>
    <t xml:space="preserve">Total </t>
  </si>
  <si>
    <t>Variance</t>
  </si>
  <si>
    <t>Weekdays</t>
  </si>
  <si>
    <t>Weekends</t>
  </si>
  <si>
    <t>Total Hours left</t>
  </si>
  <si>
    <t>Weekly hours</t>
  </si>
  <si>
    <t>Expected hours of study</t>
  </si>
  <si>
    <t>Difficulty Level</t>
  </si>
  <si>
    <t>Confusing</t>
  </si>
  <si>
    <t>Level of Practice to be done</t>
  </si>
  <si>
    <t>No. of LOS</t>
  </si>
  <si>
    <t xml:space="preserve">Refers to the chapter number as per the current year curriculum. </t>
  </si>
  <si>
    <t>Total Planned Hours of Study</t>
  </si>
  <si>
    <t>Total Actual Hours of Study (A+B)</t>
  </si>
  <si>
    <t>Weekly Analysis</t>
  </si>
  <si>
    <t>Daily Analysis</t>
  </si>
  <si>
    <t>-Lecture Hours (A)</t>
  </si>
  <si>
    <t>Hours of Study (A+B)</t>
  </si>
  <si>
    <t>Total Number of Weeks</t>
  </si>
  <si>
    <t>Total Number of Days</t>
  </si>
  <si>
    <t>-Self Study and Practice Hours (B)</t>
  </si>
  <si>
    <t>Number of Chapters</t>
  </si>
  <si>
    <r>
      <t xml:space="preserve">On a scale of </t>
    </r>
    <r>
      <rPr>
        <b/>
        <sz val="11"/>
        <color theme="1"/>
        <rFont val="Tw Cen MT"/>
        <family val="2"/>
      </rPr>
      <t>1(Least) to 5(Very)</t>
    </r>
    <r>
      <rPr>
        <sz val="11"/>
        <color theme="1"/>
        <rFont val="Tw Cen MT"/>
        <family val="2"/>
      </rPr>
      <t xml:space="preserve"> have highlighted the importance level of the same, '3' being an average/normal chapter. This is just an indication and selective studying is not at all encouraged. The importance level of a chapter could be because of a high probability of testability, or because of dependence of another chapter or the next level on this particular chapter. The questions may turn up from unexpected or seemingly unimportant areas. Please do not misconstrue or exaggerate the meaning of the same.</t>
    </r>
  </si>
  <si>
    <r>
      <t xml:space="preserve">On a scale of </t>
    </r>
    <r>
      <rPr>
        <b/>
        <sz val="11"/>
        <color theme="1"/>
        <rFont val="Tw Cen MT"/>
        <family val="2"/>
      </rPr>
      <t>1(easy) to 5(Difficult)</t>
    </r>
    <r>
      <rPr>
        <sz val="11"/>
        <color theme="1"/>
        <rFont val="Tw Cen MT"/>
        <family val="2"/>
      </rPr>
      <t>, is very subjective. Irrespective, you need to attend the lectures with a very firm and focused mind, because questions could be from anywhere and confusing questions could turn up from unexpected areas</t>
    </r>
  </si>
  <si>
    <r>
      <t>Refers to the chapter name. The same has been highlighted in two shades to indicate in case of any changes compared to the previous year curriculum (</t>
    </r>
    <r>
      <rPr>
        <b/>
        <sz val="11"/>
        <color theme="1"/>
        <rFont val="Tw Cen MT"/>
        <family val="2"/>
      </rPr>
      <t>Change: Yellow</t>
    </r>
    <r>
      <rPr>
        <sz val="11"/>
        <color theme="1"/>
        <rFont val="Tw Cen MT"/>
        <family val="2"/>
      </rPr>
      <t xml:space="preserve">) or in case it has been added for the first time to the curriculum </t>
    </r>
    <r>
      <rPr>
        <b/>
        <sz val="11"/>
        <color theme="1"/>
        <rFont val="Tw Cen MT"/>
        <family val="2"/>
      </rPr>
      <t>(New: Orange</t>
    </r>
    <r>
      <rPr>
        <sz val="11"/>
        <color theme="1"/>
        <rFont val="Tw Cen MT"/>
        <family val="2"/>
      </rPr>
      <t>).</t>
    </r>
  </si>
  <si>
    <r>
      <t xml:space="preserve">On a scale of </t>
    </r>
    <r>
      <rPr>
        <b/>
        <sz val="11"/>
        <color theme="1"/>
        <rFont val="Tw Cen MT"/>
        <family val="2"/>
      </rPr>
      <t>1(Least) to 5(Very)</t>
    </r>
    <r>
      <rPr>
        <sz val="11"/>
        <color theme="1"/>
        <rFont val="Tw Cen MT"/>
        <family val="2"/>
      </rPr>
      <t xml:space="preserve"> have highlighted the level of confusion, '3' being an average chapter. This is done to make sure that you understand that you need to concentrate and the chapters in which you are prone to make silly errors, and often one formula or concept connects with the following one and if you are distracted or did not learn the first one well, you will end up building a weak foundation for the forthcoming concepts and formula. FOCUS!
Also, the level of confusion could be high due to the kind of questions tested, although the reading may be fairly straightforward.</t>
    </r>
  </si>
  <si>
    <t>Syllabus</t>
  </si>
  <si>
    <r>
      <t>It just gives an indication of whether the chapter is lengthy on a scale of '1' to '5', '</t>
    </r>
    <r>
      <rPr>
        <b/>
        <sz val="11"/>
        <color theme="1"/>
        <rFont val="Tw Cen MT"/>
        <family val="2"/>
      </rPr>
      <t>3' being an average chapter length.</t>
    </r>
  </si>
  <si>
    <t>Notes to Yourself</t>
  </si>
  <si>
    <t>Average</t>
  </si>
  <si>
    <t>Lengthy</t>
  </si>
  <si>
    <t>Numerical or Not</t>
  </si>
  <si>
    <t>Diff. Level</t>
  </si>
  <si>
    <t>Imp. Level</t>
  </si>
  <si>
    <t>Reqd. Prac.</t>
  </si>
  <si>
    <t>Cum. (%)</t>
  </si>
  <si>
    <t>Prac. Book</t>
  </si>
  <si>
    <t>Inc. Eff. Needed</t>
  </si>
  <si>
    <r>
      <rPr>
        <b/>
        <i/>
        <sz val="16"/>
        <color rgb="FFFF0000"/>
        <rFont val="Tw Cen MT"/>
        <family val="2"/>
      </rPr>
      <t>Instructions:</t>
    </r>
    <r>
      <rPr>
        <i/>
        <sz val="14"/>
        <color rgb="FFFF0000"/>
        <rFont val="Tw Cen MT"/>
        <family val="2"/>
      </rPr>
      <t xml:space="preserve"> Choose 'D' for Done and 'U' for Undone. </t>
    </r>
  </si>
  <si>
    <t>Changes</t>
  </si>
  <si>
    <t>Same</t>
  </si>
  <si>
    <t>Confidence Level</t>
  </si>
  <si>
    <t>Extra Practice</t>
  </si>
  <si>
    <t>Level of Confidence</t>
  </si>
  <si>
    <t>Total weights</t>
  </si>
  <si>
    <t>Subjectwise weights</t>
  </si>
  <si>
    <t>Subjectwise weighted average</t>
  </si>
  <si>
    <t>Revision (U)</t>
  </si>
  <si>
    <t>Extra Practice (D)</t>
  </si>
  <si>
    <t>Extra Practice (U)</t>
  </si>
  <si>
    <t>Revision(D)</t>
  </si>
  <si>
    <t>Revision(T)</t>
  </si>
  <si>
    <t>Extra Practice (T)</t>
  </si>
  <si>
    <t>Confidence</t>
  </si>
  <si>
    <t>Confidence(T)</t>
  </si>
  <si>
    <t>Done (S)</t>
  </si>
  <si>
    <t xml:space="preserve">Expected Total Hours </t>
  </si>
  <si>
    <t>No. of days required</t>
  </si>
  <si>
    <t>Practice and Self Study</t>
  </si>
  <si>
    <t>Hours of Lecture per week</t>
  </si>
  <si>
    <t>Column1</t>
  </si>
  <si>
    <r>
      <t xml:space="preserve">Study Hours - </t>
    </r>
    <r>
      <rPr>
        <b/>
        <sz val="10"/>
        <color theme="1"/>
        <rFont val="Tw Cen MT"/>
        <family val="2"/>
      </rPr>
      <t xml:space="preserve">Weekdays </t>
    </r>
    <r>
      <rPr>
        <sz val="10"/>
        <color theme="0" tint="-0.249977111117893"/>
        <rFont val="Tw Cen MT"/>
        <family val="2"/>
      </rPr>
      <t>Per day</t>
    </r>
  </si>
  <si>
    <r>
      <t xml:space="preserve">Study Hours - </t>
    </r>
    <r>
      <rPr>
        <b/>
        <sz val="10"/>
        <color theme="1"/>
        <rFont val="Tw Cen MT"/>
        <family val="2"/>
      </rPr>
      <t>Weekends</t>
    </r>
    <r>
      <rPr>
        <sz val="10"/>
        <color theme="1"/>
        <rFont val="Tw Cen MT"/>
        <family val="2"/>
      </rPr>
      <t xml:space="preserve"> </t>
    </r>
    <r>
      <rPr>
        <sz val="10"/>
        <color theme="0" tint="-0.249977111117893"/>
        <rFont val="Tw Cen MT"/>
        <family val="2"/>
      </rPr>
      <t>Per day</t>
    </r>
  </si>
  <si>
    <r>
      <t>Self Study Hours</t>
    </r>
    <r>
      <rPr>
        <sz val="10"/>
        <color theme="0" tint="-0.249977111117893"/>
        <rFont val="Tw Cen MT"/>
        <family val="2"/>
      </rPr>
      <t xml:space="preserve"> Per Chapter</t>
    </r>
  </si>
  <si>
    <r>
      <t xml:space="preserve">No. of days for </t>
    </r>
    <r>
      <rPr>
        <b/>
        <sz val="10"/>
        <color theme="1"/>
        <rFont val="Tw Cen MT"/>
        <family val="2"/>
      </rPr>
      <t>Revision</t>
    </r>
  </si>
  <si>
    <t>DONE</t>
  </si>
  <si>
    <t>UNDONE</t>
  </si>
  <si>
    <t>Row Labels</t>
  </si>
  <si>
    <t>Grand Total</t>
  </si>
  <si>
    <t>More than expected</t>
  </si>
  <si>
    <t>Less than expected</t>
  </si>
  <si>
    <t>Schedule</t>
  </si>
  <si>
    <t>Total Lectures</t>
  </si>
  <si>
    <t>Total Self Study</t>
  </si>
  <si>
    <t>Extra Done</t>
  </si>
  <si>
    <t>Extra Undone</t>
  </si>
  <si>
    <t>Weekly</t>
  </si>
  <si>
    <t>Daily</t>
  </si>
  <si>
    <t>From Today till Revision</t>
  </si>
  <si>
    <t>From Beginning 
till Date</t>
  </si>
  <si>
    <t>Buffer days for pending portions &amp; practice</t>
  </si>
  <si>
    <t>No. of Chapters</t>
  </si>
  <si>
    <t>Lecture Hours</t>
  </si>
  <si>
    <t>Self Study Hours</t>
  </si>
  <si>
    <t>Total Self Study+Practice</t>
  </si>
  <si>
    <t>Total Hours</t>
  </si>
  <si>
    <r>
      <t xml:space="preserve">Rate on the Scale of </t>
    </r>
    <r>
      <rPr>
        <b/>
        <sz val="11"/>
        <color theme="1"/>
        <rFont val="Tw Cen MT"/>
        <family val="2"/>
      </rPr>
      <t>1 (Low) to 5 (High</t>
    </r>
    <r>
      <rPr>
        <sz val="11"/>
        <color theme="1"/>
        <rFont val="Tw Cen MT"/>
        <family val="2"/>
      </rPr>
      <t xml:space="preserve">). While revising make sure you give more time to topics in which you have low confidence level. </t>
    </r>
  </si>
  <si>
    <t>Numerical or 
Non-Numerical</t>
  </si>
  <si>
    <t>Importance Level</t>
  </si>
  <si>
    <r>
      <t xml:space="preserve">You may </t>
    </r>
    <r>
      <rPr>
        <b/>
        <sz val="11"/>
        <color theme="1"/>
        <rFont val="Tw Cen MT"/>
        <family val="2"/>
      </rPr>
      <t>add anything here that you wish to remind yourself during revision</t>
    </r>
    <r>
      <rPr>
        <sz val="11"/>
        <color theme="1"/>
        <rFont val="Tw Cen MT"/>
        <family val="2"/>
      </rPr>
      <t>. For example: 'Made a lot of mistakes, revise practice questions also for this chapter' or 'revise this chapter with more time, I didn't study well', 'revise this chapter at the end, I have retention issues' or 'I know this chapter due to my work profile'.</t>
    </r>
  </si>
  <si>
    <t>PERFORMANCE TRACKER</t>
  </si>
  <si>
    <t>INPUT</t>
  </si>
  <si>
    <r>
      <t xml:space="preserve">Make sure you follow the lectures and </t>
    </r>
    <r>
      <rPr>
        <b/>
        <sz val="11"/>
        <color theme="1"/>
        <rFont val="Tw Cen MT"/>
        <family val="2"/>
      </rPr>
      <t>study in the order as provided</t>
    </r>
    <r>
      <rPr>
        <sz val="11"/>
        <color theme="1"/>
        <rFont val="Tw Cen MT"/>
        <family val="2"/>
      </rPr>
      <t>. There could be prerequisites across subjects, hence the particular order. Also, have tried alternating theory and practical subjects. I have kept subjects with more retention issues for the latter half. Also, have tried to keep an overlap between two subjects so if you are bored with one, you can study another. If you want you may complete one subject at a time as well.</t>
    </r>
  </si>
  <si>
    <t>`</t>
  </si>
  <si>
    <t>Your Name</t>
  </si>
  <si>
    <t>FRM P-1</t>
  </si>
  <si>
    <t>The schedule is automatically update with every passing day, telling you what you need to complete in the current week and the following weeks until your revision day starts based on you study hours.</t>
  </si>
  <si>
    <r>
      <t xml:space="preserve">On a scale of </t>
    </r>
    <r>
      <rPr>
        <b/>
        <sz val="11"/>
        <color theme="1"/>
        <rFont val="Tw Cen MT"/>
        <family val="2"/>
      </rPr>
      <t>1(None) to 5(completely)</t>
    </r>
    <r>
      <rPr>
        <sz val="11"/>
        <color theme="1"/>
        <rFont val="Tw Cen MT"/>
        <family val="2"/>
      </rPr>
      <t xml:space="preserve"> have highlighted if the reading has a lot of numerical, formulas, ratios, calculations, etc. This is just to give you an idea to have the right expectations before you begin the chapter.</t>
    </r>
  </si>
  <si>
    <t>Details on 'what' and 'how much' to practice has been provided in details already. This is just to give an indication on a chapter-wise basis, concerning the required practice, given how much the student is prone to error, or if there are a lot of confusing or difficult questions being tested from that chapter.
1 - Only If you have a shortage of time, you may skip the practice altogether. Do the Schweser EOC. 
2 - Do the Schweser EOC, and do the Practice Questions provided through Practice Lectures at least to understand how to attempt them.
3 -Do the Schweser EOC, try the practice questions yourself first, and then go through the practice lectures; If Lecture not given for any lecture, solve them yourself.
4 - Do the Schweser EOC, try the practice questions yourself first, and then go through the practice lectures, then  complete the Institute Material EOC
5. Do the Schweser EOC, try the practice questions yourself and then go through the practice lectures, then complete the Institute Material EOC. Try to solve questions from Schweser Online Questions as well.
Some chapters may not have all practice resources, especially current issues. Please ignore the same</t>
  </si>
  <si>
    <t xml:space="preserve">This gives you a rough approximation of the ‘%’ of lectures completed, and hence an idea of the proportion of syllabus completed. </t>
  </si>
  <si>
    <t xml:space="preserve">The Most important part of your preparation. You must watch every single lecture very attentively. You are strictly advised against using your phone while attending the lectures. Sit for a minimum 2.5-3 hours at a stretch. Do not leave a topic or a concept in between while studying, by taking too many breaks. </t>
  </si>
  <si>
    <t xml:space="preserve">You have to do these, as the exam level of difficulty is quite good and practice is important. The level of difficulty is higher. Practice lectures for almost all chapters is also provided. Make sure you solve these on a chapter wise basis. Further details provided in ‘How to study and practice’ lecture. </t>
  </si>
  <si>
    <t>The questions are a little difficult and quite a few of them Non-MCQ. Still solve all the sums. Also, there are quite a few printing errors in the solutions in the institute material. Do not get irritated over it.</t>
  </si>
  <si>
    <t>The syllabus of FRM has changed significantly over the years and all past year questions are not valid. Most have been filtered. In case any question is out of syllabus, please ignore the same and move forward. Also, do these along with revision.</t>
  </si>
  <si>
    <t>Practice Books</t>
  </si>
  <si>
    <t>GARP EOC Questions</t>
  </si>
  <si>
    <t>GARP 10 Year Papers</t>
  </si>
  <si>
    <t>Quantitative Analysis</t>
  </si>
  <si>
    <t>Foundation of Risk Mgmt</t>
  </si>
  <si>
    <t>Anatomy of the Great Financial Crisis of 2007-2009</t>
  </si>
  <si>
    <t>Credit Risk Transfer Mechanisms</t>
  </si>
  <si>
    <t>Linear Regression</t>
  </si>
  <si>
    <t>Regression with Multiple Explanatory Variables</t>
  </si>
  <si>
    <t>Regression Diagnostics</t>
  </si>
  <si>
    <t>Financial Mkts &amp; Products</t>
  </si>
  <si>
    <t>Banks</t>
  </si>
  <si>
    <t>Insurance Companies and Pension Plans</t>
  </si>
  <si>
    <t>Fund Management</t>
  </si>
  <si>
    <t>Stationary Time Series</t>
  </si>
  <si>
    <t>Non-Stationary Time Series</t>
  </si>
  <si>
    <t>Options Markets</t>
  </si>
  <si>
    <t>Properties of Options</t>
  </si>
  <si>
    <t>Introduction to Derivatives</t>
  </si>
  <si>
    <t>Pricing Financial Forwards and Futures</t>
  </si>
  <si>
    <t>Commodity Forwards and Futures</t>
  </si>
  <si>
    <t>Futures Markets</t>
  </si>
  <si>
    <t>Using Futures for Hedging</t>
  </si>
  <si>
    <t>Exchanges and OTC Markets</t>
  </si>
  <si>
    <t>Central Clearing</t>
  </si>
  <si>
    <t>Trading Strategies</t>
  </si>
  <si>
    <t>Valuation &amp; Risk Models</t>
  </si>
  <si>
    <t>Binomial Trees</t>
  </si>
  <si>
    <t>Exotic Options</t>
  </si>
  <si>
    <t>GARP Code of Conduct</t>
  </si>
  <si>
    <t>Principles for Effective Data Aggregation and Risk Reporting</t>
  </si>
  <si>
    <t>Properties of Interest Rates</t>
  </si>
  <si>
    <t>Corporate Bonds</t>
  </si>
  <si>
    <t>Interest Rate Futures</t>
  </si>
  <si>
    <t>Swaps</t>
  </si>
  <si>
    <t>Foreign Exchange Markets</t>
  </si>
  <si>
    <t>External and Internal Credit Ratings</t>
  </si>
  <si>
    <t>The Building Blocks of Risk Management</t>
  </si>
  <si>
    <t>Measures of Financial Risk</t>
  </si>
  <si>
    <t>Calculating and Applying VaR</t>
  </si>
  <si>
    <t>Measuring and Monitoring Volatility</t>
  </si>
  <si>
    <t>Stress Testing</t>
  </si>
  <si>
    <t>Measuring Credit Risk</t>
  </si>
  <si>
    <t>Operational Risk</t>
  </si>
  <si>
    <t>Learning from Financial Disasters</t>
  </si>
  <si>
    <t>Enterprise Risk Management and Future Trends</t>
  </si>
  <si>
    <t>The Governance of Risk Management</t>
  </si>
  <si>
    <t>GARP 10 Yr Papers</t>
  </si>
  <si>
    <t>GARP EOC Ques.</t>
  </si>
  <si>
    <t>Modern Portfolio Theory and the Capital Asset Pricing Model</t>
  </si>
  <si>
    <t>The Arbitrage Pricing Theory and Multifactor Models of Risk and Return</t>
  </si>
  <si>
    <t>Measuring Returns, Volatility, and Correlation</t>
  </si>
  <si>
    <t>Simulation and Bootstrapping</t>
  </si>
  <si>
    <t>Machine Learning and Prediction</t>
  </si>
  <si>
    <t>Mortgages and Mortgage-Backed Securities</t>
  </si>
  <si>
    <t>Applying Duration, Convexity, and DV01</t>
  </si>
  <si>
    <t>Undone hrs</t>
  </si>
  <si>
    <t>Cum. Undone hrs</t>
  </si>
  <si>
    <t>Column2</t>
  </si>
  <si>
    <t>Right click on the slicer and Refresh to update the graphs.</t>
  </si>
  <si>
    <r>
      <t xml:space="preserve">This gives a </t>
    </r>
    <r>
      <rPr>
        <b/>
        <sz val="11"/>
        <color theme="1"/>
        <rFont val="Tw Cen MT"/>
        <family val="2"/>
      </rPr>
      <t>rough idea about the duration of class lectures (doesnot include practice lecture) for each chapter</t>
    </r>
    <r>
      <rPr>
        <sz val="11"/>
        <color theme="1"/>
        <rFont val="Tw Cen MT"/>
        <family val="2"/>
      </rPr>
      <t>. May not be accurate, as we keep adding lectures, practice, etc. There could be a new chapter not yet covered and shared with you yet, we take an average of 3 hours for such chapters. It gives you a fair estimate though. Please do not worry, any lecture added later or shared is informed via WhatsApp to all students. Also, it does not include the time required for studying, Exam Mentoring lectures, etc.</t>
    </r>
  </si>
  <si>
    <t>12 to 16</t>
  </si>
  <si>
    <t>55 to 57</t>
  </si>
  <si>
    <t>Probability and Statistics</t>
  </si>
  <si>
    <t>Machine Learning Methods</t>
  </si>
  <si>
    <t>The Black Scholes Merton Model</t>
  </si>
  <si>
    <t>Option Sensitivity Measures-The Greeks</t>
  </si>
  <si>
    <t>Fixed Income</t>
  </si>
  <si>
    <t>Country Risk-Determinants, Measures, and Implications</t>
  </si>
  <si>
    <t>How Do Firms Manage Financial Risk</t>
  </si>
  <si>
    <r>
      <t xml:space="preserve">An indicator of the </t>
    </r>
    <r>
      <rPr>
        <b/>
        <sz val="11"/>
        <color theme="1"/>
        <rFont val="Tw Cen MT"/>
        <family val="2"/>
      </rPr>
      <t>number of subheads</t>
    </r>
    <r>
      <rPr>
        <sz val="11"/>
        <color theme="1"/>
        <rFont val="Tw Cen MT"/>
        <family val="2"/>
      </rPr>
      <t xml:space="preserve"> that the chapter has been divided into by the Institute. It approximately tells us the number of different concepts covered in a chapter and could be an indicator of the length of the chapter. Chapters that have been taught together shows the sum of all learning outcomes in the combined chapters.</t>
    </r>
  </si>
  <si>
    <t>Sum of No. of Chapters</t>
  </si>
  <si>
    <t>Interest Rates</t>
  </si>
  <si>
    <t>Modeling Non Parallel Term Structure Shifts and Hedging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</si>
</sst>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
    <numFmt numFmtId="165" formatCode="[h]:mm"/>
    <numFmt numFmtId="166" formatCode="0\ &quot;days&quot;"/>
    <numFmt numFmtId="167" formatCode="0\ &quot;hrs&quot;"/>
    <numFmt numFmtId="168" formatCode="#,##0.0"/>
    <numFmt numFmtId="169" formatCode="[hh]:mm"/>
    <numFmt numFmtId="170" formatCode="0\ &quot;weeks&quot;"/>
    <numFmt numFmtId="171" formatCode="0.0\ &quot;hrs&quot;"/>
    <numFmt numFmtId="172" formatCode="0.0"/>
    <numFmt numFmtId="173" formatCode="0.0;\-0.0;;@"/>
    <numFmt numFmtId="174" formatCode="[hh]"/>
  </numFmts>
  <fonts count="77">
    <font>
      <sz val="11"/>
      <color theme="1"/>
      <name val="Calibri"/>
      <family val="2"/>
      <scheme val="minor"/>
    </font>
    <font>
      <sz val="11"/>
      <color theme="1"/>
      <name val="Calibri"/>
      <family val="2"/>
      <scheme val="minor"/>
    </font>
    <font>
      <sz val="11"/>
      <color rgb="FF000000"/>
      <name val="Calibri"/>
      <family val="2"/>
    </font>
    <font>
      <sz val="11"/>
      <color theme="1"/>
      <name val="Tw Cen MT"/>
      <family val="2"/>
    </font>
    <font>
      <b/>
      <sz val="12"/>
      <color theme="0"/>
      <name val="Tw Cen MT"/>
      <family val="2"/>
    </font>
    <font>
      <b/>
      <sz val="11"/>
      <color theme="0"/>
      <name val="Tw Cen MT"/>
      <family val="2"/>
    </font>
    <font>
      <b/>
      <sz val="24"/>
      <color theme="0"/>
      <name val="Tw Cen MT"/>
      <family val="2"/>
    </font>
    <font>
      <b/>
      <u/>
      <sz val="24"/>
      <name val="Tw Cen MT"/>
      <family val="2"/>
    </font>
    <font>
      <b/>
      <u/>
      <sz val="20"/>
      <name val="Tw Cen MT"/>
      <family val="2"/>
    </font>
    <font>
      <b/>
      <sz val="22"/>
      <color theme="4" tint="-0.499984740745262"/>
      <name val="Tw Cen MT"/>
      <family val="2"/>
    </font>
    <font>
      <b/>
      <sz val="11"/>
      <color theme="1"/>
      <name val="Tw Cen MT"/>
      <family val="2"/>
    </font>
    <font>
      <sz val="12"/>
      <color theme="1"/>
      <name val="Tw Cen MT"/>
      <family val="2"/>
    </font>
    <font>
      <b/>
      <sz val="12"/>
      <color theme="1"/>
      <name val="Tw Cen MT"/>
      <family val="2"/>
    </font>
    <font>
      <i/>
      <sz val="12"/>
      <color theme="1"/>
      <name val="Tw Cen MT"/>
      <family val="2"/>
    </font>
    <font>
      <sz val="12"/>
      <color theme="3" tint="0.39997558519241921"/>
      <name val="Tw Cen MT"/>
      <family val="2"/>
    </font>
    <font>
      <sz val="12"/>
      <name val="Tw Cen MT"/>
      <family val="2"/>
    </font>
    <font>
      <i/>
      <sz val="12"/>
      <color theme="0"/>
      <name val="Tw Cen MT"/>
      <family val="2"/>
    </font>
    <font>
      <i/>
      <sz val="12"/>
      <name val="Tw Cen MT"/>
      <family val="2"/>
    </font>
    <font>
      <b/>
      <sz val="14"/>
      <color rgb="FF000000"/>
      <name val="Tw Cen MT"/>
      <family val="2"/>
    </font>
    <font>
      <sz val="11"/>
      <color rgb="FF000000"/>
      <name val="Tw Cen MT"/>
      <family val="2"/>
    </font>
    <font>
      <sz val="14"/>
      <color theme="1"/>
      <name val="Tw Cen MT"/>
      <family val="2"/>
    </font>
    <font>
      <b/>
      <sz val="14"/>
      <color theme="1"/>
      <name val="Tw Cen MT"/>
      <family val="2"/>
    </font>
    <font>
      <sz val="14"/>
      <name val="Tw Cen MT"/>
      <family val="2"/>
    </font>
    <font>
      <sz val="12"/>
      <color theme="0"/>
      <name val="Tw Cen MT"/>
      <family val="2"/>
    </font>
    <font>
      <b/>
      <sz val="22"/>
      <color theme="0"/>
      <name val="Tw Cen MT"/>
      <family val="2"/>
    </font>
    <font>
      <b/>
      <sz val="14"/>
      <name val="Tw Cen MT"/>
      <family val="2"/>
    </font>
    <font>
      <i/>
      <sz val="12"/>
      <color rgb="FFFF0000"/>
      <name val="Tw Cen MT"/>
      <family val="2"/>
    </font>
    <font>
      <b/>
      <sz val="12"/>
      <name val="Tw Cen MT"/>
      <family val="2"/>
    </font>
    <font>
      <b/>
      <sz val="18"/>
      <color theme="1"/>
      <name val="Tw Cen MT"/>
      <family val="2"/>
    </font>
    <font>
      <b/>
      <sz val="12"/>
      <color theme="0" tint="-0.34998626667073579"/>
      <name val="Tw Cen MT"/>
      <family val="2"/>
    </font>
    <font>
      <sz val="8"/>
      <name val="Calibri"/>
      <family val="2"/>
      <scheme val="minor"/>
    </font>
    <font>
      <b/>
      <sz val="9"/>
      <color indexed="81"/>
      <name val="Tw Cen MT"/>
      <family val="2"/>
    </font>
    <font>
      <sz val="9"/>
      <color indexed="81"/>
      <name val="Tw Cen MT"/>
      <family val="2"/>
    </font>
    <font>
      <sz val="9"/>
      <color indexed="81"/>
      <name val="Tahoma"/>
      <family val="2"/>
    </font>
    <font>
      <b/>
      <sz val="9"/>
      <color indexed="81"/>
      <name val="Tahoma"/>
      <family val="2"/>
    </font>
    <font>
      <sz val="11"/>
      <name val="Tw Cen MT"/>
      <family val="2"/>
    </font>
    <font>
      <i/>
      <sz val="14"/>
      <color rgb="FFFF0000"/>
      <name val="Tw Cen MT"/>
      <family val="2"/>
    </font>
    <font>
      <b/>
      <sz val="11"/>
      <color theme="2" tint="-0.499984740745262"/>
      <name val="Tw Cen MT"/>
      <family val="2"/>
    </font>
    <font>
      <b/>
      <i/>
      <sz val="16"/>
      <color rgb="FFFF0000"/>
      <name val="Tw Cen MT"/>
      <family val="2"/>
    </font>
    <font>
      <u/>
      <sz val="11"/>
      <color theme="10"/>
      <name val="Calibri"/>
      <family val="2"/>
      <scheme val="minor"/>
    </font>
    <font>
      <sz val="12"/>
      <color rgb="FFFF0000"/>
      <name val="Tw Cen MT"/>
      <family val="2"/>
    </font>
    <font>
      <sz val="14"/>
      <color rgb="FFFF0000"/>
      <name val="Tw Cen MT"/>
      <family val="2"/>
    </font>
    <font>
      <sz val="11"/>
      <color theme="2" tint="-0.249977111117893"/>
      <name val="Tw Cen MT"/>
      <family val="2"/>
    </font>
    <font>
      <b/>
      <sz val="22"/>
      <name val="Tw Cen MT"/>
      <family val="2"/>
    </font>
    <font>
      <sz val="12"/>
      <color theme="5" tint="0.79998168889431442"/>
      <name val="Tw Cen MT"/>
      <family val="2"/>
    </font>
    <font>
      <sz val="14"/>
      <color theme="5" tint="0.79998168889431442"/>
      <name val="Tw Cen MT"/>
      <family val="2"/>
    </font>
    <font>
      <i/>
      <sz val="12"/>
      <color theme="5" tint="0.79998168889431442"/>
      <name val="Tw Cen MT"/>
      <family val="2"/>
    </font>
    <font>
      <b/>
      <sz val="11"/>
      <color theme="0" tint="-0.34998626667073579"/>
      <name val="Tw Cen MT"/>
      <family val="2"/>
    </font>
    <font>
      <sz val="10"/>
      <color theme="1"/>
      <name val="Tw Cen MT"/>
      <family val="2"/>
    </font>
    <font>
      <b/>
      <sz val="10"/>
      <color theme="1"/>
      <name val="Tw Cen MT"/>
      <family val="2"/>
    </font>
    <font>
      <sz val="10"/>
      <color theme="0" tint="-0.249977111117893"/>
      <name val="Tw Cen MT"/>
      <family val="2"/>
    </font>
    <font>
      <b/>
      <sz val="10"/>
      <name val="Tw Cen MT"/>
      <family val="2"/>
    </font>
    <font>
      <sz val="10"/>
      <name val="Tw Cen MT"/>
      <family val="2"/>
    </font>
    <font>
      <sz val="9"/>
      <name val="Tw Cen MT"/>
      <family val="2"/>
    </font>
    <font>
      <b/>
      <sz val="12"/>
      <color rgb="FFFF0000"/>
      <name val="Tempus Sans ITC"/>
      <family val="5"/>
    </font>
    <font>
      <b/>
      <sz val="10"/>
      <color rgb="FFFF0000"/>
      <name val="Tempus Sans ITC"/>
      <family val="5"/>
    </font>
    <font>
      <i/>
      <sz val="11"/>
      <name val="Tw Cen MT"/>
      <family val="2"/>
    </font>
    <font>
      <sz val="20"/>
      <color theme="1"/>
      <name val="Tw Cen MT"/>
      <family val="2"/>
    </font>
    <font>
      <sz val="20"/>
      <name val="Tw Cen MT"/>
      <family val="2"/>
    </font>
    <font>
      <b/>
      <sz val="14"/>
      <color theme="0"/>
      <name val="Tw Cen MT"/>
      <family val="2"/>
    </font>
    <font>
      <i/>
      <sz val="14"/>
      <color theme="0" tint="-0.499984740745262"/>
      <name val="Tw Cen MT"/>
      <family val="2"/>
    </font>
    <font>
      <sz val="12"/>
      <color theme="0" tint="-0.499984740745262"/>
      <name val="Tw Cen MT"/>
      <family val="2"/>
    </font>
    <font>
      <b/>
      <sz val="12"/>
      <color theme="1" tint="0.249977111117893"/>
      <name val="Tw Cen MT"/>
      <family val="2"/>
    </font>
    <font>
      <sz val="18"/>
      <color theme="0"/>
      <name val="Tw Cen MT"/>
      <family val="2"/>
    </font>
    <font>
      <sz val="9"/>
      <color theme="1"/>
      <name val="Tw Cen MT"/>
      <family val="2"/>
    </font>
    <font>
      <sz val="8"/>
      <color theme="1"/>
      <name val="Tw Cen MT"/>
      <family val="2"/>
    </font>
    <font>
      <sz val="8"/>
      <color theme="1" tint="0.499984740745262"/>
      <name val="Tw Cen MT"/>
      <family val="2"/>
    </font>
    <font>
      <sz val="8"/>
      <color theme="1"/>
      <name val="ABeeZee"/>
      <family val="3"/>
    </font>
    <font>
      <sz val="8"/>
      <color rgb="FFFF6600"/>
      <name val="ABeeZee"/>
      <family val="3"/>
    </font>
    <font>
      <sz val="8"/>
      <name val="ABeeZee"/>
      <family val="3"/>
    </font>
    <font>
      <sz val="9"/>
      <color theme="5" tint="0.79998168889431442"/>
      <name val="Tw Cen MT"/>
      <family val="2"/>
    </font>
    <font>
      <sz val="16"/>
      <name val="Tw Cen MT"/>
      <family val="2"/>
    </font>
    <font>
      <b/>
      <sz val="20"/>
      <color theme="0"/>
      <name val="Tw Cen MT"/>
      <family val="2"/>
    </font>
    <font>
      <sz val="14"/>
      <color theme="1" tint="0.499984740745262"/>
      <name val="Tw Cen MT"/>
      <family val="2"/>
    </font>
    <font>
      <sz val="11"/>
      <color theme="1" tint="0.499984740745262"/>
      <name val="Tw Cen MT"/>
      <family val="2"/>
    </font>
    <font>
      <b/>
      <sz val="20"/>
      <color theme="5"/>
      <name val="Tw Cen MT"/>
      <family val="2"/>
    </font>
    <font>
      <sz val="10"/>
      <color rgb="FF000000"/>
      <name val="Arial"/>
      <family val="2"/>
    </font>
  </fonts>
  <fills count="26">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rgb="FFEC7524"/>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
      <patternFill patternType="solid">
        <fgColor rgb="FFF4AD7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7979"/>
        <bgColor indexed="64"/>
      </patternFill>
    </fill>
    <fill>
      <patternFill patternType="solid">
        <fgColor rgb="FFFFA3A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6600"/>
        <bgColor indexed="64"/>
      </patternFill>
    </fill>
    <fill>
      <patternFill patternType="solid">
        <fgColor rgb="FFFFF3EB"/>
        <bgColor indexed="64"/>
      </patternFill>
    </fill>
    <fill>
      <patternFill patternType="solid">
        <fgColor theme="4" tint="0.39997558519241921"/>
        <bgColor indexed="64"/>
      </patternFill>
    </fill>
  </fills>
  <borders count="4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style="thin">
        <color theme="0"/>
      </left>
      <right style="thin">
        <color theme="0"/>
      </right>
      <top style="thin">
        <color theme="0"/>
      </top>
      <bottom/>
      <diagonal/>
    </border>
    <border>
      <left style="thick">
        <color theme="0"/>
      </left>
      <right/>
      <top/>
      <bottom style="thick">
        <color theme="5" tint="0.79998168889431442"/>
      </bottom>
      <diagonal/>
    </border>
    <border>
      <left style="thick">
        <color theme="0"/>
      </left>
      <right/>
      <top/>
      <bottom/>
      <diagonal/>
    </border>
    <border>
      <left style="thick">
        <color theme="0"/>
      </left>
      <right style="thick">
        <color theme="0"/>
      </right>
      <top/>
      <bottom/>
      <diagonal/>
    </border>
    <border>
      <left/>
      <right style="thick">
        <color theme="5" tint="0.79998168889431442"/>
      </right>
      <top/>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ck">
        <color theme="5" tint="0.79998168889431442"/>
      </left>
      <right style="thick">
        <color theme="5" tint="0.79998168889431442"/>
      </right>
      <top style="thick">
        <color theme="5" tint="0.79998168889431442"/>
      </top>
      <bottom style="thick">
        <color theme="5" tint="0.7999816888943144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theme="5" tint="0.79998168889431442"/>
      </left>
      <right/>
      <top style="thin">
        <color theme="0"/>
      </top>
      <bottom style="thick">
        <color theme="5" tint="0.79998168889431442"/>
      </bottom>
      <diagonal/>
    </border>
    <border>
      <left/>
      <right/>
      <top style="thin">
        <color theme="0"/>
      </top>
      <bottom style="thick">
        <color theme="5" tint="0.79998168889431442"/>
      </bottom>
      <diagonal/>
    </border>
    <border>
      <left style="thick">
        <color theme="0"/>
      </left>
      <right style="thick">
        <color theme="0"/>
      </right>
      <top/>
      <bottom style="thin">
        <color theme="0"/>
      </bottom>
      <diagonal/>
    </border>
    <border>
      <left style="thick">
        <color rgb="FFFF6600"/>
      </left>
      <right style="thin">
        <color rgb="FFFF4747"/>
      </right>
      <top/>
      <bottom/>
      <diagonal/>
    </border>
    <border>
      <left style="thick">
        <color rgb="FFFF6600"/>
      </left>
      <right style="thick">
        <color rgb="FFFF6600"/>
      </right>
      <top style="thick">
        <color rgb="FFFF6600"/>
      </top>
      <bottom style="thick">
        <color rgb="FFFF6600"/>
      </bottom>
      <diagonal/>
    </border>
    <border>
      <left style="thick">
        <color rgb="FFFF6600"/>
      </left>
      <right/>
      <top style="thick">
        <color rgb="FFFF6600"/>
      </top>
      <bottom style="thick">
        <color rgb="FFFF6600"/>
      </bottom>
      <diagonal/>
    </border>
    <border>
      <left style="thick">
        <color theme="5" tint="0.79998168889431442"/>
      </left>
      <right/>
      <top style="thick">
        <color theme="5" tint="0.79998168889431442"/>
      </top>
      <bottom/>
      <diagonal/>
    </border>
    <border>
      <left/>
      <right style="thick">
        <color theme="5" tint="0.79998168889431442"/>
      </right>
      <top style="thick">
        <color theme="5" tint="0.79998168889431442"/>
      </top>
      <bottom/>
      <diagonal/>
    </border>
    <border>
      <left style="thick">
        <color theme="5" tint="0.79998168889431442"/>
      </left>
      <right/>
      <top/>
      <bottom/>
      <diagonal/>
    </border>
    <border>
      <left style="thick">
        <color theme="5" tint="0.79998168889431442"/>
      </left>
      <right/>
      <top/>
      <bottom style="thick">
        <color theme="5" tint="0.79998168889431442"/>
      </bottom>
      <diagonal/>
    </border>
    <border>
      <left/>
      <right style="thick">
        <color theme="5" tint="0.79998168889431442"/>
      </right>
      <top/>
      <bottom style="thick">
        <color theme="5" tint="0.79998168889431442"/>
      </bottom>
      <diagonal/>
    </border>
    <border>
      <left style="thick">
        <color theme="0"/>
      </left>
      <right/>
      <top style="thick">
        <color theme="5" tint="0.79998168889431442"/>
      </top>
      <bottom style="thin">
        <color theme="0"/>
      </bottom>
      <diagonal/>
    </border>
    <border>
      <left style="thick">
        <color theme="0"/>
      </left>
      <right/>
      <top style="thin">
        <color theme="0"/>
      </top>
      <bottom/>
      <diagonal/>
    </border>
    <border>
      <left/>
      <right/>
      <top style="thick">
        <color theme="5" tint="0.79998168889431442"/>
      </top>
      <bottom style="thick">
        <color theme="5" tint="0.79998168889431442"/>
      </bottom>
      <diagonal/>
    </border>
    <border>
      <left/>
      <right/>
      <top style="thin">
        <color indexed="64"/>
      </top>
      <bottom/>
      <diagonal/>
    </border>
    <border>
      <left/>
      <right style="thick">
        <color theme="0"/>
      </right>
      <top/>
      <bottom/>
      <diagonal/>
    </border>
    <border>
      <left/>
      <right style="thick">
        <color theme="0"/>
      </right>
      <top/>
      <bottom style="thick">
        <color theme="5" tint="0.79998168889431442"/>
      </bottom>
      <diagonal/>
    </border>
    <border>
      <left style="thick">
        <color theme="5" tint="0.79998168889431442"/>
      </left>
      <right/>
      <top style="thick">
        <color theme="5" tint="0.79998168889431442"/>
      </top>
      <bottom style="thick">
        <color theme="5" tint="0.79998168889431442"/>
      </bottom>
      <diagonal/>
    </border>
    <border>
      <left/>
      <right style="thick">
        <color theme="5" tint="0.79998168889431442"/>
      </right>
      <top style="thick">
        <color theme="5" tint="0.79998168889431442"/>
      </top>
      <bottom style="thick">
        <color theme="5" tint="0.79998168889431442"/>
      </bottom>
      <diagonal/>
    </border>
    <border>
      <left/>
      <right/>
      <top style="thick">
        <color theme="0"/>
      </top>
      <bottom/>
      <diagonal/>
    </border>
  </borders>
  <cellStyleXfs count="6">
    <xf numFmtId="0" fontId="0" fillId="0" borderId="0"/>
    <xf numFmtId="0" fontId="1" fillId="2" borderId="0" applyNumberFormat="0" applyBorder="0" applyAlignment="0" applyProtection="0"/>
    <xf numFmtId="0" fontId="2" fillId="0" borderId="0"/>
    <xf numFmtId="9" fontId="1" fillId="0" borderId="0" applyFont="0" applyFill="0" applyBorder="0" applyAlignment="0" applyProtection="0"/>
    <xf numFmtId="0" fontId="39" fillId="0" borderId="0" applyNumberFormat="0" applyFill="0" applyBorder="0" applyAlignment="0" applyProtection="0"/>
    <xf numFmtId="0" fontId="76" fillId="0" borderId="0"/>
  </cellStyleXfs>
  <cellXfs count="307">
    <xf numFmtId="0" fontId="0" fillId="0" borderId="0" xfId="0"/>
    <xf numFmtId="0" fontId="3" fillId="3" borderId="0" xfId="0" applyFont="1" applyFill="1"/>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xf>
    <xf numFmtId="0" fontId="12" fillId="6" borderId="0" xfId="0" applyFont="1" applyFill="1"/>
    <xf numFmtId="0" fontId="12" fillId="7" borderId="0" xfId="0" applyFont="1" applyFill="1"/>
    <xf numFmtId="0" fontId="12" fillId="8" borderId="0" xfId="0" applyFont="1" applyFill="1"/>
    <xf numFmtId="0" fontId="12" fillId="9" borderId="0" xfId="0" applyFont="1" applyFill="1"/>
    <xf numFmtId="0" fontId="4" fillId="10" borderId="1" xfId="0" applyFont="1" applyFill="1" applyBorder="1" applyAlignment="1">
      <alignment horizontal="center" vertical="center" wrapText="1"/>
    </xf>
    <xf numFmtId="169" fontId="27" fillId="0" borderId="2" xfId="0" applyNumberFormat="1" applyFont="1" applyBorder="1" applyAlignment="1">
      <alignment horizontal="center" vertical="center" wrapText="1"/>
    </xf>
    <xf numFmtId="0" fontId="29" fillId="4" borderId="2" xfId="0" applyFont="1" applyFill="1" applyBorder="1" applyAlignment="1">
      <alignment horizontal="center" vertical="center" wrapText="1"/>
    </xf>
    <xf numFmtId="169" fontId="15" fillId="0" borderId="2" xfId="0" applyNumberFormat="1" applyFont="1" applyBorder="1" applyAlignment="1">
      <alignment horizontal="center" vertical="center" wrapText="1"/>
    </xf>
    <xf numFmtId="0" fontId="5" fillId="3" borderId="3" xfId="0" applyFont="1" applyFill="1" applyBorder="1" applyAlignment="1">
      <alignment horizontal="center" vertical="center" wrapText="1"/>
    </xf>
    <xf numFmtId="17" fontId="3" fillId="0" borderId="1" xfId="0" applyNumberFormat="1" applyFont="1" applyBorder="1" applyAlignment="1" applyProtection="1">
      <alignment horizontal="center" vertical="center"/>
      <protection locked="0"/>
    </xf>
    <xf numFmtId="9" fontId="12" fillId="0" borderId="2"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0" fontId="12" fillId="5" borderId="0" xfId="0" applyFont="1" applyFill="1"/>
    <xf numFmtId="0" fontId="12" fillId="15" borderId="0" xfId="0" applyFont="1" applyFill="1"/>
    <xf numFmtId="0" fontId="12" fillId="14" borderId="0" xfId="0" applyFont="1" applyFill="1"/>
    <xf numFmtId="17" fontId="42" fillId="0" borderId="2" xfId="0" applyNumberFormat="1" applyFont="1" applyBorder="1" applyAlignment="1" applyProtection="1">
      <alignment horizontal="center" vertical="center"/>
      <protection locked="0"/>
    </xf>
    <xf numFmtId="0" fontId="11" fillId="16" borderId="0" xfId="0" applyFont="1" applyFill="1"/>
    <xf numFmtId="0" fontId="14" fillId="16" borderId="0" xfId="0" applyFont="1" applyFill="1"/>
    <xf numFmtId="0" fontId="15" fillId="16" borderId="0" xfId="0" applyFont="1" applyFill="1"/>
    <xf numFmtId="0" fontId="20" fillId="16" borderId="0" xfId="0" applyFont="1" applyFill="1"/>
    <xf numFmtId="0" fontId="40" fillId="16" borderId="0" xfId="0" applyFont="1" applyFill="1"/>
    <xf numFmtId="0" fontId="22" fillId="16" borderId="0" xfId="0" applyFont="1" applyFill="1"/>
    <xf numFmtId="0" fontId="41" fillId="16" borderId="0" xfId="0" applyFont="1" applyFill="1"/>
    <xf numFmtId="0" fontId="44" fillId="16" borderId="0" xfId="0" applyFont="1" applyFill="1"/>
    <xf numFmtId="164" fontId="44" fillId="16" borderId="0" xfId="0" applyNumberFormat="1" applyFont="1" applyFill="1"/>
    <xf numFmtId="0" fontId="45" fillId="16" borderId="0" xfId="0" applyFont="1" applyFill="1"/>
    <xf numFmtId="0" fontId="46" fillId="16" borderId="0" xfId="0" applyFont="1" applyFill="1" applyAlignment="1">
      <alignment horizontal="left" vertical="center" wrapText="1"/>
    </xf>
    <xf numFmtId="0" fontId="16" fillId="16" borderId="0" xfId="0" applyFont="1" applyFill="1" applyAlignment="1">
      <alignment horizontal="left" vertical="center" wrapText="1"/>
    </xf>
    <xf numFmtId="0" fontId="3" fillId="16" borderId="0" xfId="0" applyFont="1" applyFill="1"/>
    <xf numFmtId="0" fontId="3" fillId="16" borderId="0" xfId="0" applyFont="1" applyFill="1" applyAlignment="1">
      <alignment wrapText="1"/>
    </xf>
    <xf numFmtId="3" fontId="13" fillId="0" borderId="2" xfId="0" applyNumberFormat="1" applyFont="1" applyBorder="1" applyAlignment="1">
      <alignment horizontal="center" vertical="center" wrapText="1"/>
    </xf>
    <xf numFmtId="0" fontId="47" fillId="3" borderId="3" xfId="0" applyFont="1" applyFill="1" applyBorder="1" applyAlignment="1">
      <alignment horizontal="center" vertical="center" wrapText="1"/>
    </xf>
    <xf numFmtId="0" fontId="3" fillId="4" borderId="2" xfId="0" applyFont="1" applyFill="1" applyBorder="1" applyAlignment="1">
      <alignment vertical="center" wrapText="1"/>
    </xf>
    <xf numFmtId="169" fontId="25" fillId="4" borderId="2" xfId="0" applyNumberFormat="1" applyFont="1" applyFill="1" applyBorder="1" applyAlignment="1">
      <alignment horizontal="center" vertical="center" wrapText="1"/>
    </xf>
    <xf numFmtId="9" fontId="25" fillId="4" borderId="2" xfId="0" applyNumberFormat="1" applyFont="1" applyFill="1" applyBorder="1" applyAlignment="1">
      <alignment horizontal="center" vertical="center" wrapText="1"/>
    </xf>
    <xf numFmtId="3" fontId="25" fillId="4" borderId="2" xfId="0" applyNumberFormat="1" applyFont="1" applyFill="1" applyBorder="1" applyAlignment="1">
      <alignment horizontal="center" vertical="center" wrapText="1"/>
    </xf>
    <xf numFmtId="0" fontId="25" fillId="4" borderId="2" xfId="0" applyFont="1" applyFill="1" applyBorder="1" applyAlignment="1">
      <alignment horizontal="center" vertical="center" wrapText="1"/>
    </xf>
    <xf numFmtId="171" fontId="48" fillId="3" borderId="0" xfId="0" applyNumberFormat="1" applyFont="1" applyFill="1" applyAlignment="1" applyProtection="1">
      <alignment horizontal="center" vertical="center" wrapText="1"/>
      <protection locked="0"/>
    </xf>
    <xf numFmtId="166" fontId="48" fillId="3" borderId="0" xfId="0" applyNumberFormat="1" applyFont="1" applyFill="1" applyAlignment="1" applyProtection="1">
      <alignment horizontal="center" vertical="center" wrapText="1"/>
      <protection locked="0"/>
    </xf>
    <xf numFmtId="0" fontId="7" fillId="16" borderId="0" xfId="2" applyFont="1" applyFill="1" applyAlignment="1">
      <alignment horizontal="left"/>
    </xf>
    <xf numFmtId="0" fontId="8" fillId="16" borderId="0" xfId="0" applyFont="1" applyFill="1" applyAlignment="1">
      <alignment horizontal="left"/>
    </xf>
    <xf numFmtId="0" fontId="8" fillId="16" borderId="0" xfId="0" applyFont="1" applyFill="1" applyAlignment="1">
      <alignment horizontal="left" wrapText="1"/>
    </xf>
    <xf numFmtId="21" fontId="3" fillId="16" borderId="0" xfId="0" applyNumberFormat="1" applyFont="1" applyFill="1"/>
    <xf numFmtId="0" fontId="43" fillId="16" borderId="0" xfId="0" applyFont="1" applyFill="1" applyAlignment="1">
      <alignment horizontal="center" vertical="center"/>
    </xf>
    <xf numFmtId="0" fontId="41" fillId="16" borderId="0" xfId="0" applyFont="1" applyFill="1" applyAlignment="1">
      <alignment vertical="center" wrapText="1"/>
    </xf>
    <xf numFmtId="0" fontId="24" fillId="16" borderId="0" xfId="0" applyFont="1" applyFill="1" applyAlignment="1">
      <alignment vertical="center" wrapText="1"/>
    </xf>
    <xf numFmtId="0" fontId="28" fillId="16" borderId="0" xfId="0" applyFont="1" applyFill="1" applyAlignment="1">
      <alignment vertical="center"/>
    </xf>
    <xf numFmtId="0" fontId="9" fillId="16" borderId="0" xfId="0" applyFont="1" applyFill="1" applyAlignment="1">
      <alignment vertical="center"/>
    </xf>
    <xf numFmtId="0" fontId="3" fillId="16" borderId="0" xfId="0" applyFont="1" applyFill="1" applyAlignment="1">
      <alignment vertical="center"/>
    </xf>
    <xf numFmtId="0" fontId="3" fillId="16" borderId="0" xfId="0" applyFont="1" applyFill="1" applyAlignment="1">
      <alignment horizontal="center" wrapText="1"/>
    </xf>
    <xf numFmtId="0" fontId="26" fillId="16" borderId="0" xfId="0" applyFont="1" applyFill="1" applyAlignment="1">
      <alignment vertical="center"/>
    </xf>
    <xf numFmtId="0" fontId="6" fillId="16" borderId="0" xfId="0" applyFont="1" applyFill="1" applyAlignment="1">
      <alignment vertical="center"/>
    </xf>
    <xf numFmtId="0" fontId="26" fillId="16" borderId="4" xfId="0" applyFont="1" applyFill="1" applyBorder="1" applyAlignment="1">
      <alignment vertical="center"/>
    </xf>
    <xf numFmtId="0" fontId="37" fillId="16" borderId="0" xfId="0" applyFont="1" applyFill="1" applyAlignment="1">
      <alignment horizontal="right" wrapText="1"/>
    </xf>
    <xf numFmtId="172" fontId="37" fillId="16" borderId="0" xfId="0" applyNumberFormat="1" applyFont="1" applyFill="1" applyAlignment="1">
      <alignment horizontal="center" wrapText="1"/>
    </xf>
    <xf numFmtId="169" fontId="37" fillId="16" borderId="0" xfId="0" applyNumberFormat="1" applyFont="1" applyFill="1" applyAlignment="1">
      <alignment horizontal="center" wrapText="1"/>
    </xf>
    <xf numFmtId="4" fontId="3" fillId="16" borderId="0" xfId="0" applyNumberFormat="1" applyFont="1" applyFill="1"/>
    <xf numFmtId="0" fontId="59" fillId="10" borderId="8" xfId="0" applyFont="1" applyFill="1" applyBorder="1" applyAlignment="1">
      <alignment vertical="center"/>
    </xf>
    <xf numFmtId="0" fontId="60" fillId="3" borderId="8" xfId="0" applyFont="1" applyFill="1" applyBorder="1" applyAlignment="1" applyProtection="1">
      <alignment horizontal="left" vertical="center" indent="2"/>
      <protection locked="0"/>
    </xf>
    <xf numFmtId="0" fontId="6" fillId="21" borderId="0" xfId="0" applyFont="1" applyFill="1" applyAlignment="1">
      <alignment vertical="center"/>
    </xf>
    <xf numFmtId="0" fontId="24" fillId="21" borderId="0" xfId="0" applyFont="1" applyFill="1" applyAlignment="1">
      <alignment vertical="center" wrapText="1"/>
    </xf>
    <xf numFmtId="0" fontId="24" fillId="21" borderId="0" xfId="0" applyFont="1" applyFill="1" applyAlignment="1">
      <alignment horizontal="right"/>
    </xf>
    <xf numFmtId="0" fontId="4" fillId="10" borderId="2" xfId="0" applyFont="1" applyFill="1" applyBorder="1" applyAlignment="1">
      <alignment horizontal="center" vertical="center" wrapText="1"/>
    </xf>
    <xf numFmtId="0" fontId="24" fillId="21" borderId="0" xfId="0" applyFont="1" applyFill="1" applyAlignment="1">
      <alignment vertical="center"/>
    </xf>
    <xf numFmtId="0" fontId="23" fillId="21" borderId="0" xfId="0" applyFont="1" applyFill="1"/>
    <xf numFmtId="9" fontId="12" fillId="0" borderId="0" xfId="0" applyNumberFormat="1" applyFont="1" applyAlignment="1">
      <alignment horizontal="center" vertical="center" wrapText="1"/>
    </xf>
    <xf numFmtId="164" fontId="22" fillId="16" borderId="0" xfId="0" applyNumberFormat="1" applyFont="1" applyFill="1"/>
    <xf numFmtId="9" fontId="44" fillId="16" borderId="0" xfId="0" applyNumberFormat="1" applyFont="1" applyFill="1"/>
    <xf numFmtId="170" fontId="11"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4" fontId="11" fillId="0" borderId="2" xfId="0" applyNumberFormat="1" applyFont="1" applyBorder="1" applyAlignment="1">
      <alignment vertical="center" wrapText="1"/>
    </xf>
    <xf numFmtId="166" fontId="12" fillId="0" borderId="2" xfId="0" applyNumberFormat="1" applyFont="1" applyBorder="1" applyAlignment="1">
      <alignment horizontal="center" vertical="center" wrapText="1"/>
    </xf>
    <xf numFmtId="4" fontId="11" fillId="0" borderId="2" xfId="0" applyNumberFormat="1" applyFont="1" applyBorder="1" applyAlignment="1">
      <alignment vertical="center"/>
    </xf>
    <xf numFmtId="167" fontId="12" fillId="0" borderId="2" xfId="0" applyNumberFormat="1" applyFont="1" applyBorder="1" applyAlignment="1">
      <alignment horizontal="center" vertical="center" wrapText="1"/>
    </xf>
    <xf numFmtId="0" fontId="3" fillId="0" borderId="2" xfId="0" applyFont="1" applyBorder="1"/>
    <xf numFmtId="0" fontId="3" fillId="0" borderId="0" xfId="0" applyFont="1"/>
    <xf numFmtId="0" fontId="10" fillId="22" borderId="2" xfId="0" applyFont="1" applyFill="1" applyBorder="1" applyAlignment="1">
      <alignment horizontal="center" vertical="center"/>
    </xf>
    <xf numFmtId="0" fontId="10" fillId="22" borderId="2" xfId="0" applyFont="1" applyFill="1" applyBorder="1" applyAlignment="1">
      <alignment vertical="center"/>
    </xf>
    <xf numFmtId="4" fontId="11" fillId="0" borderId="2" xfId="0" applyNumberFormat="1" applyFont="1" applyBorder="1" applyAlignment="1">
      <alignment horizontal="left" vertical="center" indent="1"/>
    </xf>
    <xf numFmtId="169" fontId="15" fillId="0" borderId="0" xfId="0" applyNumberFormat="1" applyFont="1" applyAlignment="1">
      <alignment horizontal="center" vertical="center" wrapText="1"/>
    </xf>
    <xf numFmtId="15" fontId="3" fillId="0" borderId="23" xfId="0" applyNumberFormat="1" applyFont="1" applyBorder="1" applyAlignment="1">
      <alignment horizontal="center"/>
    </xf>
    <xf numFmtId="4" fontId="3" fillId="0" borderId="2" xfId="3" applyNumberFormat="1" applyFont="1" applyFill="1" applyBorder="1" applyAlignment="1">
      <alignment horizontal="center"/>
    </xf>
    <xf numFmtId="9" fontId="3" fillId="0" borderId="2" xfId="3" applyFont="1" applyFill="1" applyBorder="1" applyAlignment="1">
      <alignment horizontal="center"/>
    </xf>
    <xf numFmtId="9" fontId="3" fillId="0" borderId="2" xfId="0" applyNumberFormat="1" applyFont="1" applyBorder="1" applyAlignment="1">
      <alignment horizontal="center"/>
    </xf>
    <xf numFmtId="0" fontId="3" fillId="0" borderId="22" xfId="0" applyFont="1" applyBorder="1"/>
    <xf numFmtId="4" fontId="3" fillId="0" borderId="2" xfId="0" applyNumberFormat="1" applyFont="1" applyBorder="1" applyAlignment="1">
      <alignment horizontal="center"/>
    </xf>
    <xf numFmtId="3" fontId="27" fillId="0" borderId="0" xfId="0" applyNumberFormat="1" applyFont="1" applyAlignment="1">
      <alignment horizontal="center" vertical="center" wrapText="1"/>
    </xf>
    <xf numFmtId="15" fontId="3" fillId="0" borderId="24" xfId="0" applyNumberFormat="1" applyFont="1" applyBorder="1" applyAlignment="1">
      <alignment horizontal="center"/>
    </xf>
    <xf numFmtId="4" fontId="3" fillId="0" borderId="6" xfId="3" applyNumberFormat="1" applyFont="1" applyFill="1" applyBorder="1" applyAlignment="1" applyProtection="1">
      <alignment horizontal="center"/>
    </xf>
    <xf numFmtId="9" fontId="3" fillId="0" borderId="6" xfId="3" applyFont="1" applyFill="1" applyBorder="1" applyAlignment="1" applyProtection="1">
      <alignment horizontal="center"/>
    </xf>
    <xf numFmtId="9" fontId="3" fillId="0" borderId="6" xfId="0" applyNumberFormat="1" applyFont="1" applyBorder="1" applyAlignment="1">
      <alignment horizontal="center"/>
    </xf>
    <xf numFmtId="0" fontId="3" fillId="0" borderId="6" xfId="0" applyFont="1" applyBorder="1" applyAlignment="1">
      <alignment horizontal="center"/>
    </xf>
    <xf numFmtId="0" fontId="3" fillId="0" borderId="3" xfId="0" applyFont="1" applyBorder="1"/>
    <xf numFmtId="169" fontId="25" fillId="0" borderId="0" xfId="0" applyNumberFormat="1" applyFont="1" applyAlignment="1">
      <alignment horizontal="center" vertical="center" wrapText="1"/>
    </xf>
    <xf numFmtId="15" fontId="3" fillId="0" borderId="0" xfId="0" applyNumberFormat="1" applyFont="1" applyAlignment="1">
      <alignment horizontal="center"/>
    </xf>
    <xf numFmtId="4" fontId="3" fillId="0" borderId="0" xfId="3" applyNumberFormat="1" applyFont="1" applyFill="1" applyBorder="1" applyAlignment="1" applyProtection="1">
      <alignment horizontal="center"/>
    </xf>
    <xf numFmtId="9" fontId="3" fillId="0" borderId="0" xfId="3" applyFont="1" applyFill="1" applyBorder="1" applyAlignment="1" applyProtection="1">
      <alignment horizontal="center"/>
    </xf>
    <xf numFmtId="9" fontId="3" fillId="0" borderId="0" xfId="0" applyNumberFormat="1" applyFont="1" applyAlignment="1">
      <alignment horizontal="center"/>
    </xf>
    <xf numFmtId="0" fontId="3" fillId="0" borderId="0" xfId="0" applyFont="1" applyAlignment="1">
      <alignment horizontal="center"/>
    </xf>
    <xf numFmtId="0" fontId="27" fillId="22" borderId="2" xfId="0" applyFont="1" applyFill="1" applyBorder="1" applyAlignment="1">
      <alignment horizontal="left" vertical="center" indent="1"/>
    </xf>
    <xf numFmtId="0" fontId="27" fillId="22" borderId="2" xfId="0" applyFont="1" applyFill="1" applyBorder="1" applyAlignment="1">
      <alignment horizontal="center" vertical="center" wrapText="1"/>
    </xf>
    <xf numFmtId="0" fontId="11" fillId="0" borderId="2" xfId="0" applyFont="1" applyBorder="1" applyAlignment="1">
      <alignment horizontal="left" vertical="center" wrapText="1"/>
    </xf>
    <xf numFmtId="172" fontId="15" fillId="0" borderId="2"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1" fillId="0" borderId="2" xfId="0" quotePrefix="1" applyFont="1" applyBorder="1" applyAlignment="1">
      <alignment horizontal="left" vertical="center" wrapText="1" indent="1"/>
    </xf>
    <xf numFmtId="0" fontId="11" fillId="0" borderId="0" xfId="0" quotePrefix="1" applyFont="1" applyAlignment="1">
      <alignment horizontal="left" vertical="center" wrapText="1" indent="2"/>
    </xf>
    <xf numFmtId="9" fontId="11" fillId="0" borderId="0" xfId="0" applyNumberFormat="1" applyFont="1" applyAlignment="1">
      <alignment horizontal="center" vertical="center" wrapText="1"/>
    </xf>
    <xf numFmtId="0" fontId="10" fillId="0" borderId="2" xfId="0" applyFont="1" applyBorder="1"/>
    <xf numFmtId="9" fontId="3" fillId="0" borderId="2" xfId="0" applyNumberFormat="1" applyFont="1" applyBorder="1"/>
    <xf numFmtId="1" fontId="3" fillId="0" borderId="2" xfId="0" applyNumberFormat="1" applyFont="1" applyBorder="1"/>
    <xf numFmtId="3" fontId="3" fillId="0" borderId="2" xfId="0" applyNumberFormat="1" applyFont="1" applyBorder="1"/>
    <xf numFmtId="174" fontId="3" fillId="0" borderId="0" xfId="0" applyNumberFormat="1" applyFont="1"/>
    <xf numFmtId="0" fontId="3" fillId="0" borderId="0" xfId="0" pivotButton="1" applyFont="1"/>
    <xf numFmtId="0" fontId="3" fillId="0" borderId="0" xfId="0" applyFont="1" applyAlignment="1">
      <alignment horizontal="left"/>
    </xf>
    <xf numFmtId="3" fontId="27" fillId="0" borderId="2" xfId="0" applyNumberFormat="1" applyFont="1" applyBorder="1" applyAlignment="1">
      <alignment horizontal="center" vertical="center" wrapText="1"/>
    </xf>
    <xf numFmtId="4" fontId="27" fillId="0" borderId="0" xfId="0" applyNumberFormat="1" applyFont="1" applyAlignment="1">
      <alignment vertical="center"/>
    </xf>
    <xf numFmtId="4" fontId="15" fillId="0" borderId="0" xfId="0" applyNumberFormat="1" applyFont="1" applyAlignment="1">
      <alignment vertical="center"/>
    </xf>
    <xf numFmtId="0" fontId="35" fillId="0" borderId="0" xfId="0" applyFont="1"/>
    <xf numFmtId="4" fontId="15" fillId="0" borderId="0" xfId="0" applyNumberFormat="1" applyFont="1" applyAlignment="1">
      <alignment horizontal="left" vertical="center" indent="1"/>
    </xf>
    <xf numFmtId="169" fontId="27" fillId="0" borderId="0" xfId="0" applyNumberFormat="1" applyFont="1" applyAlignment="1">
      <alignment horizontal="center" vertical="center" wrapText="1"/>
    </xf>
    <xf numFmtId="168" fontId="15" fillId="0" borderId="2" xfId="0" applyNumberFormat="1" applyFont="1" applyBorder="1" applyAlignment="1">
      <alignment horizontal="center" vertical="center" wrapText="1"/>
    </xf>
    <xf numFmtId="9" fontId="3" fillId="0" borderId="0" xfId="0" applyNumberFormat="1" applyFont="1"/>
    <xf numFmtId="174" fontId="35" fillId="0" borderId="0" xfId="0" applyNumberFormat="1" applyFont="1" applyAlignment="1">
      <alignment horizontal="center" vertical="center" wrapText="1"/>
    </xf>
    <xf numFmtId="165" fontId="35" fillId="0" borderId="2" xfId="0" applyNumberFormat="1" applyFont="1" applyBorder="1" applyAlignment="1">
      <alignment horizontal="center" vertical="center" wrapText="1"/>
    </xf>
    <xf numFmtId="14" fontId="3" fillId="16" borderId="0" xfId="0" applyNumberFormat="1" applyFont="1" applyFill="1"/>
    <xf numFmtId="173" fontId="70" fillId="16" borderId="0" xfId="0" applyNumberFormat="1" applyFont="1" applyFill="1"/>
    <xf numFmtId="0" fontId="7" fillId="16" borderId="0" xfId="2" applyFont="1" applyFill="1"/>
    <xf numFmtId="0" fontId="3" fillId="24" borderId="12" xfId="0" applyFont="1" applyFill="1" applyBorder="1" applyAlignment="1">
      <alignment horizontal="center" vertical="center" wrapText="1"/>
    </xf>
    <xf numFmtId="0" fontId="3" fillId="24" borderId="7" xfId="0" applyFont="1" applyFill="1" applyBorder="1" applyAlignment="1">
      <alignment horizontal="center" vertical="center" wrapText="1"/>
    </xf>
    <xf numFmtId="0" fontId="3" fillId="24" borderId="10" xfId="0" applyFont="1" applyFill="1" applyBorder="1" applyAlignment="1">
      <alignment horizontal="center" vertical="center" wrapText="1"/>
    </xf>
    <xf numFmtId="0" fontId="3" fillId="24" borderId="8" xfId="0" applyFont="1" applyFill="1" applyBorder="1" applyAlignment="1">
      <alignment horizontal="center" vertical="center" wrapText="1"/>
    </xf>
    <xf numFmtId="0" fontId="3" fillId="24" borderId="13" xfId="0" applyFont="1" applyFill="1" applyBorder="1" applyAlignment="1">
      <alignment horizontal="center" vertical="center" wrapText="1"/>
    </xf>
    <xf numFmtId="0" fontId="3" fillId="24" borderId="0" xfId="0" applyFont="1" applyFill="1" applyAlignment="1">
      <alignment horizontal="center" vertical="center" wrapText="1"/>
    </xf>
    <xf numFmtId="0" fontId="56" fillId="16" borderId="0" xfId="4" applyFont="1" applyFill="1" applyAlignment="1" applyProtection="1">
      <alignment horizontal="left" vertical="center"/>
    </xf>
    <xf numFmtId="0" fontId="57" fillId="16" borderId="0" xfId="0" applyFont="1" applyFill="1"/>
    <xf numFmtId="0" fontId="72" fillId="21" borderId="0" xfId="0" applyFont="1" applyFill="1" applyAlignment="1">
      <alignment horizontal="right" vertical="center"/>
    </xf>
    <xf numFmtId="0" fontId="12" fillId="16" borderId="0" xfId="0" applyFont="1" applyFill="1" applyAlignment="1">
      <alignment vertical="center"/>
    </xf>
    <xf numFmtId="0" fontId="12" fillId="16" borderId="0" xfId="0" applyFont="1" applyFill="1"/>
    <xf numFmtId="0" fontId="59" fillId="7" borderId="9" xfId="0" applyFont="1" applyFill="1" applyBorder="1" applyAlignment="1">
      <alignment horizontal="center" vertical="center" wrapText="1"/>
    </xf>
    <xf numFmtId="0" fontId="3" fillId="16" borderId="0" xfId="0" applyFont="1" applyFill="1" applyAlignment="1" applyProtection="1">
      <alignment vertical="center"/>
      <protection locked="0"/>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7" fillId="3" borderId="3" xfId="0" applyFont="1" applyFill="1" applyBorder="1" applyAlignment="1" applyProtection="1">
      <alignment horizontal="center" vertical="center" wrapText="1"/>
      <protection locked="0"/>
    </xf>
    <xf numFmtId="0" fontId="15" fillId="10" borderId="14" xfId="0" applyFont="1" applyFill="1" applyBorder="1" applyAlignment="1">
      <alignment horizontal="center" vertical="center" wrapText="1"/>
    </xf>
    <xf numFmtId="0" fontId="15" fillId="13" borderId="14"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5" fillId="15" borderId="14" xfId="0" applyFont="1" applyFill="1" applyBorder="1" applyAlignment="1">
      <alignment horizontal="center" vertical="center" wrapText="1"/>
    </xf>
    <xf numFmtId="0" fontId="19" fillId="0" borderId="20" xfId="0" applyFont="1" applyBorder="1"/>
    <xf numFmtId="165" fontId="3" fillId="0" borderId="20" xfId="0" applyNumberFormat="1" applyFont="1" applyBorder="1" applyAlignment="1">
      <alignment horizontal="center" vertical="center" wrapText="1"/>
    </xf>
    <xf numFmtId="165" fontId="10" fillId="0" borderId="20" xfId="0" applyNumberFormat="1" applyFont="1" applyBorder="1" applyAlignment="1">
      <alignment horizontal="center" vertical="center" wrapText="1"/>
    </xf>
    <xf numFmtId="164" fontId="3" fillId="0" borderId="20" xfId="0" applyNumberFormat="1" applyFont="1" applyBorder="1" applyAlignment="1">
      <alignment horizontal="center"/>
    </xf>
    <xf numFmtId="173" fontId="3" fillId="0" borderId="20" xfId="0" applyNumberFormat="1" applyFont="1" applyBorder="1" applyAlignment="1">
      <alignment horizontal="center"/>
    </xf>
    <xf numFmtId="164" fontId="10" fillId="0" borderId="20" xfId="0" applyNumberFormat="1" applyFont="1" applyBorder="1" applyAlignment="1">
      <alignment horizontal="center"/>
    </xf>
    <xf numFmtId="0" fontId="18" fillId="12" borderId="20" xfId="0" applyFont="1" applyFill="1" applyBorder="1"/>
    <xf numFmtId="165" fontId="21" fillId="12" borderId="20" xfId="0" applyNumberFormat="1" applyFont="1" applyFill="1" applyBorder="1" applyAlignment="1">
      <alignment horizontal="center" vertical="center" wrapText="1"/>
    </xf>
    <xf numFmtId="164" fontId="18" fillId="12" borderId="20" xfId="0" applyNumberFormat="1" applyFont="1" applyFill="1" applyBorder="1" applyAlignment="1">
      <alignment horizontal="center"/>
    </xf>
    <xf numFmtId="173" fontId="18" fillId="12" borderId="20" xfId="0" applyNumberFormat="1" applyFont="1" applyFill="1" applyBorder="1" applyAlignment="1">
      <alignment horizontal="center"/>
    </xf>
    <xf numFmtId="9" fontId="0" fillId="0" borderId="0" xfId="0" applyNumberFormat="1" applyAlignment="1">
      <alignment horizontal="center" vertical="center"/>
    </xf>
    <xf numFmtId="9" fontId="3" fillId="0" borderId="0" xfId="0" applyNumberFormat="1" applyFont="1" applyAlignment="1">
      <alignment horizontal="center" vertical="center" wrapText="1"/>
    </xf>
    <xf numFmtId="0" fontId="6" fillId="21" borderId="0" xfId="0" applyFont="1" applyFill="1" applyAlignment="1">
      <alignment vertical="center" wrapText="1"/>
    </xf>
    <xf numFmtId="0" fontId="26" fillId="16" borderId="0" xfId="0" applyFont="1" applyFill="1" applyAlignment="1">
      <alignment vertical="center" wrapText="1"/>
    </xf>
    <xf numFmtId="0" fontId="26" fillId="16" borderId="4" xfId="0" applyFont="1" applyFill="1" applyBorder="1" applyAlignment="1">
      <alignment vertical="center" wrapText="1"/>
    </xf>
    <xf numFmtId="3" fontId="42" fillId="0" borderId="2" xfId="0" applyNumberFormat="1" applyFont="1" applyBorder="1" applyAlignment="1">
      <alignment horizontal="center" vertical="center" wrapText="1"/>
    </xf>
    <xf numFmtId="164" fontId="45" fillId="16" borderId="0" xfId="0" applyNumberFormat="1" applyFont="1" applyFill="1"/>
    <xf numFmtId="0" fontId="11" fillId="16" borderId="44" xfId="0" applyFont="1" applyFill="1" applyBorder="1"/>
    <xf numFmtId="0" fontId="62" fillId="22" borderId="39" xfId="0" applyFont="1" applyFill="1" applyBorder="1" applyAlignment="1">
      <alignment vertical="center"/>
    </xf>
    <xf numFmtId="14" fontId="61" fillId="3" borderId="39" xfId="1" applyNumberFormat="1" applyFont="1" applyFill="1" applyBorder="1" applyAlignment="1" applyProtection="1">
      <alignment horizontal="left" vertical="center" indent="2"/>
      <protection locked="0"/>
    </xf>
    <xf numFmtId="0" fontId="62" fillId="22" borderId="4" xfId="0" applyFont="1" applyFill="1" applyBorder="1" applyAlignment="1">
      <alignment vertical="center"/>
    </xf>
    <xf numFmtId="14" fontId="61" fillId="3" borderId="4" xfId="1" applyNumberFormat="1" applyFont="1" applyFill="1" applyBorder="1" applyAlignment="1" applyProtection="1">
      <alignment horizontal="left" vertical="center" indent="2"/>
      <protection locked="0"/>
    </xf>
    <xf numFmtId="0" fontId="15" fillId="25" borderId="19" xfId="0" applyFont="1" applyFill="1" applyBorder="1" applyAlignment="1">
      <alignment horizontal="center" vertical="center" wrapText="1"/>
    </xf>
    <xf numFmtId="0" fontId="12" fillId="25" borderId="0" xfId="0" applyFont="1" applyFill="1"/>
    <xf numFmtId="0" fontId="64" fillId="16" borderId="0" xfId="0" applyFont="1" applyFill="1" applyAlignment="1" applyProtection="1">
      <alignment wrapText="1"/>
      <protection locked="0"/>
    </xf>
    <xf numFmtId="0" fontId="3" fillId="16" borderId="0" xfId="0" applyFont="1" applyFill="1" applyProtection="1">
      <protection locked="0"/>
    </xf>
    <xf numFmtId="0" fontId="21" fillId="3" borderId="0" xfId="0" applyFont="1" applyFill="1" applyAlignment="1" applyProtection="1">
      <alignment vertical="center"/>
      <protection locked="0"/>
    </xf>
    <xf numFmtId="0" fontId="3" fillId="3" borderId="0" xfId="0" applyFont="1" applyFill="1" applyProtection="1">
      <protection locked="0"/>
    </xf>
    <xf numFmtId="0" fontId="52" fillId="16" borderId="0" xfId="0" applyFont="1" applyFill="1" applyAlignment="1" applyProtection="1">
      <alignment vertical="center" wrapText="1"/>
      <protection locked="0"/>
    </xf>
    <xf numFmtId="4" fontId="48" fillId="3" borderId="0" xfId="0" applyNumberFormat="1" applyFont="1" applyFill="1" applyAlignment="1" applyProtection="1">
      <alignment vertical="center"/>
      <protection locked="0"/>
    </xf>
    <xf numFmtId="0" fontId="74" fillId="16" borderId="0" xfId="0" applyFont="1" applyFill="1" applyAlignment="1" applyProtection="1">
      <alignment horizontal="left"/>
      <protection locked="0"/>
    </xf>
    <xf numFmtId="0" fontId="3" fillId="16" borderId="0" xfId="0" applyFont="1" applyFill="1" applyAlignment="1" applyProtection="1">
      <alignment horizontal="left"/>
      <protection locked="0"/>
    </xf>
    <xf numFmtId="0" fontId="3" fillId="16" borderId="0" xfId="0" applyFont="1" applyFill="1" applyAlignment="1" applyProtection="1">
      <alignment wrapText="1"/>
      <protection locked="0"/>
    </xf>
    <xf numFmtId="0" fontId="52" fillId="16" borderId="0" xfId="0" applyFont="1" applyFill="1" applyAlignment="1" applyProtection="1">
      <alignment horizontal="left" vertical="center" wrapText="1"/>
      <protection locked="0"/>
    </xf>
    <xf numFmtId="171" fontId="48" fillId="16" borderId="0" xfId="0" applyNumberFormat="1" applyFont="1" applyFill="1" applyAlignment="1" applyProtection="1">
      <alignment horizontal="center" vertical="center" wrapText="1"/>
      <protection locked="0"/>
    </xf>
    <xf numFmtId="0" fontId="52" fillId="16" borderId="0" xfId="0" quotePrefix="1" applyFont="1" applyFill="1" applyProtection="1">
      <protection locked="0"/>
    </xf>
    <xf numFmtId="169" fontId="58" fillId="16" borderId="0" xfId="0" quotePrefix="1" applyNumberFormat="1" applyFont="1" applyFill="1" applyAlignment="1" applyProtection="1">
      <alignment horizontal="center" vertical="center" wrapText="1"/>
      <protection locked="0"/>
    </xf>
    <xf numFmtId="169" fontId="52" fillId="16" borderId="0" xfId="0" applyNumberFormat="1" applyFont="1" applyFill="1" applyAlignment="1" applyProtection="1">
      <alignment horizontal="center" vertical="center" wrapText="1"/>
      <protection locked="0"/>
    </xf>
    <xf numFmtId="9" fontId="52" fillId="16" borderId="0" xfId="3" applyFont="1" applyFill="1" applyBorder="1" applyAlignment="1" applyProtection="1">
      <alignment horizontal="center" vertical="center" wrapText="1"/>
      <protection locked="0"/>
    </xf>
    <xf numFmtId="0" fontId="57" fillId="16" borderId="0" xfId="0" applyFont="1" applyFill="1" applyAlignment="1" applyProtection="1">
      <alignment horizontal="right" vertical="center" wrapText="1"/>
      <protection locked="0"/>
    </xf>
    <xf numFmtId="9" fontId="3" fillId="16" borderId="0" xfId="0" applyNumberFormat="1" applyFont="1" applyFill="1" applyAlignment="1" applyProtection="1">
      <alignment wrapText="1"/>
      <protection locked="0"/>
    </xf>
    <xf numFmtId="0" fontId="21" fillId="16" borderId="0" xfId="0" applyFont="1" applyFill="1" applyAlignment="1" applyProtection="1">
      <alignment vertical="center"/>
      <protection locked="0"/>
    </xf>
    <xf numFmtId="0" fontId="49" fillId="16" borderId="0" xfId="0" applyFont="1" applyFill="1" applyProtection="1">
      <protection locked="0"/>
    </xf>
    <xf numFmtId="4" fontId="48" fillId="16" borderId="0" xfId="0" applyNumberFormat="1" applyFont="1" applyFill="1" applyAlignment="1" applyProtection="1">
      <alignment vertical="center"/>
      <protection locked="0"/>
    </xf>
    <xf numFmtId="0" fontId="3" fillId="17" borderId="0" xfId="0" applyFont="1" applyFill="1" applyProtection="1">
      <protection locked="0"/>
    </xf>
    <xf numFmtId="0" fontId="48" fillId="16" borderId="0" xfId="0" applyFont="1" applyFill="1" applyAlignment="1" applyProtection="1">
      <alignment vertical="center"/>
      <protection locked="0"/>
    </xf>
    <xf numFmtId="0" fontId="3" fillId="20" borderId="0" xfId="0" applyFont="1" applyFill="1" applyProtection="1">
      <protection locked="0"/>
    </xf>
    <xf numFmtId="0" fontId="49" fillId="16" borderId="0" xfId="0" applyFont="1" applyFill="1" applyAlignment="1" applyProtection="1">
      <alignment horizontal="center"/>
      <protection locked="0"/>
    </xf>
    <xf numFmtId="0" fontId="49" fillId="16" borderId="0" xfId="0" applyFont="1" applyFill="1" applyAlignment="1" applyProtection="1">
      <alignment horizontal="left"/>
      <protection locked="0"/>
    </xf>
    <xf numFmtId="0" fontId="3" fillId="18" borderId="0" xfId="0" applyFont="1" applyFill="1" applyProtection="1">
      <protection locked="0"/>
    </xf>
    <xf numFmtId="0" fontId="52" fillId="16" borderId="0" xfId="0" applyFont="1" applyFill="1" applyAlignment="1" applyProtection="1">
      <alignment vertical="center"/>
      <protection locked="0"/>
    </xf>
    <xf numFmtId="0" fontId="55" fillId="16" borderId="0" xfId="0" applyFont="1" applyFill="1" applyAlignment="1" applyProtection="1">
      <alignment horizontal="left" vertical="center" wrapText="1" indent="2"/>
      <protection locked="0"/>
    </xf>
    <xf numFmtId="0" fontId="54" fillId="16" borderId="0" xfId="0" applyFont="1" applyFill="1" applyAlignment="1" applyProtection="1">
      <alignment vertical="top" wrapText="1"/>
      <protection locked="0"/>
    </xf>
    <xf numFmtId="0" fontId="35" fillId="16" borderId="0" xfId="0" applyFont="1" applyFill="1" applyAlignment="1" applyProtection="1">
      <alignment vertical="center" wrapText="1"/>
      <protection locked="0"/>
    </xf>
    <xf numFmtId="0" fontId="3" fillId="19" borderId="0" xfId="0" applyFont="1" applyFill="1" applyProtection="1">
      <protection locked="0"/>
    </xf>
    <xf numFmtId="0" fontId="52" fillId="16" borderId="0" xfId="0" applyFont="1" applyFill="1" applyProtection="1">
      <protection locked="0"/>
    </xf>
    <xf numFmtId="169" fontId="51" fillId="16" borderId="0" xfId="0" applyNumberFormat="1" applyFont="1" applyFill="1" applyAlignment="1" applyProtection="1">
      <alignment horizontal="center" vertical="center" wrapText="1"/>
      <protection locked="0"/>
    </xf>
    <xf numFmtId="0" fontId="53" fillId="16" borderId="0" xfId="0" quotePrefix="1" applyFont="1" applyFill="1" applyAlignment="1" applyProtection="1">
      <alignment horizontal="left" vertical="center" indent="1"/>
      <protection locked="0"/>
    </xf>
    <xf numFmtId="0" fontId="3" fillId="16" borderId="0" xfId="0" applyFont="1" applyFill="1" applyAlignment="1" applyProtection="1">
      <alignment horizontal="center"/>
      <protection locked="0"/>
    </xf>
    <xf numFmtId="0" fontId="53" fillId="16" borderId="0" xfId="0" quotePrefix="1" applyFont="1" applyFill="1" applyAlignment="1" applyProtection="1">
      <alignment horizontal="left" indent="1"/>
      <protection locked="0"/>
    </xf>
    <xf numFmtId="0" fontId="3" fillId="16" borderId="0" xfId="0" applyFont="1" applyFill="1" applyAlignment="1" applyProtection="1">
      <alignment horizontal="right" vertical="center"/>
      <protection locked="0"/>
    </xf>
    <xf numFmtId="0" fontId="3" fillId="16" borderId="0" xfId="0" quotePrefix="1" applyFont="1" applyFill="1" applyAlignment="1" applyProtection="1">
      <alignment horizontal="center"/>
      <protection locked="0"/>
    </xf>
    <xf numFmtId="0" fontId="3" fillId="16" borderId="0" xfId="0" quotePrefix="1" applyFont="1" applyFill="1" applyProtection="1">
      <protection locked="0"/>
    </xf>
    <xf numFmtId="0" fontId="64" fillId="16" borderId="0" xfId="0" applyFont="1" applyFill="1" applyAlignment="1">
      <alignment wrapText="1"/>
    </xf>
    <xf numFmtId="0" fontId="52" fillId="16" borderId="0" xfId="0" applyFont="1" applyFill="1" applyAlignment="1">
      <alignment horizontal="left" vertical="center" wrapText="1"/>
    </xf>
    <xf numFmtId="0" fontId="53" fillId="16" borderId="0" xfId="0" quotePrefix="1" applyFont="1" applyFill="1" applyAlignment="1">
      <alignment horizontal="left" vertical="center" indent="1"/>
    </xf>
    <xf numFmtId="169" fontId="52" fillId="16" borderId="0" xfId="0" applyNumberFormat="1" applyFont="1" applyFill="1" applyAlignment="1">
      <alignment horizontal="center" vertical="center" wrapText="1"/>
    </xf>
    <xf numFmtId="0" fontId="52" fillId="23" borderId="30" xfId="0" quotePrefix="1" applyFont="1" applyFill="1" applyBorder="1"/>
    <xf numFmtId="0" fontId="3" fillId="16" borderId="28" xfId="0" applyFont="1" applyFill="1" applyBorder="1"/>
    <xf numFmtId="0" fontId="52" fillId="23" borderId="29" xfId="0" quotePrefix="1" applyFont="1" applyFill="1" applyBorder="1"/>
    <xf numFmtId="0" fontId="3" fillId="16" borderId="0" xfId="0" applyFont="1" applyFill="1" applyAlignment="1">
      <alignment horizontal="center"/>
    </xf>
    <xf numFmtId="0" fontId="3" fillId="16" borderId="0" xfId="0" applyFont="1" applyFill="1" applyAlignment="1">
      <alignment horizontal="right"/>
    </xf>
    <xf numFmtId="0" fontId="35" fillId="16" borderId="0" xfId="0" applyFont="1" applyFill="1" applyAlignment="1">
      <alignment vertical="center" wrapText="1"/>
    </xf>
    <xf numFmtId="0" fontId="67" fillId="16" borderId="0" xfId="0" applyFont="1" applyFill="1" applyAlignment="1">
      <alignment wrapText="1"/>
    </xf>
    <xf numFmtId="0" fontId="67" fillId="16" borderId="0" xfId="0" applyFont="1" applyFill="1"/>
    <xf numFmtId="0" fontId="68" fillId="4" borderId="29" xfId="0" applyFont="1" applyFill="1" applyBorder="1" applyAlignment="1">
      <alignment horizontal="center" vertical="center" wrapText="1"/>
    </xf>
    <xf numFmtId="0" fontId="67" fillId="16" borderId="28" xfId="0" applyFont="1" applyFill="1" applyBorder="1"/>
    <xf numFmtId="0" fontId="69" fillId="16" borderId="0" xfId="0" quotePrefix="1" applyFont="1" applyFill="1" applyAlignment="1">
      <alignment horizontal="center"/>
    </xf>
    <xf numFmtId="169" fontId="69" fillId="16" borderId="0" xfId="0" applyNumberFormat="1" applyFont="1" applyFill="1" applyAlignment="1">
      <alignment horizontal="center" vertical="center" wrapText="1"/>
    </xf>
    <xf numFmtId="0" fontId="10" fillId="16" borderId="0" xfId="0" applyFont="1" applyFill="1" applyAlignment="1">
      <alignment horizontal="center" vertical="center"/>
    </xf>
    <xf numFmtId="172" fontId="3" fillId="0" borderId="27" xfId="0" applyNumberFormat="1" applyFont="1" applyBorder="1" applyAlignment="1">
      <alignment horizontal="center"/>
    </xf>
    <xf numFmtId="172" fontId="3" fillId="16" borderId="0" xfId="0" applyNumberFormat="1" applyFont="1" applyFill="1"/>
    <xf numFmtId="172" fontId="3" fillId="0" borderId="36" xfId="0" applyNumberFormat="1" applyFont="1" applyBorder="1" applyAlignment="1">
      <alignment horizontal="center"/>
    </xf>
    <xf numFmtId="172" fontId="3" fillId="16" borderId="0" xfId="0" applyNumberFormat="1" applyFont="1" applyFill="1" applyAlignment="1">
      <alignment wrapText="1"/>
    </xf>
    <xf numFmtId="165" fontId="3" fillId="0" borderId="36" xfId="0" applyNumberFormat="1" applyFont="1" applyBorder="1" applyAlignment="1">
      <alignment horizontal="center"/>
    </xf>
    <xf numFmtId="172" fontId="3" fillId="16" borderId="16" xfId="0" applyNumberFormat="1" applyFont="1" applyFill="1" applyBorder="1"/>
    <xf numFmtId="172" fontId="55" fillId="16" borderId="0" xfId="0" applyNumberFormat="1" applyFont="1" applyFill="1" applyAlignment="1">
      <alignment horizontal="left" vertical="center" wrapText="1" indent="3"/>
    </xf>
    <xf numFmtId="172" fontId="54" fillId="16" borderId="0" xfId="0" applyNumberFormat="1" applyFont="1" applyFill="1" applyAlignment="1">
      <alignment vertical="top" wrapText="1"/>
    </xf>
    <xf numFmtId="165" fontId="3" fillId="0" borderId="27" xfId="0" applyNumberFormat="1" applyFont="1" applyBorder="1" applyAlignment="1">
      <alignment horizontal="center"/>
    </xf>
    <xf numFmtId="172" fontId="3" fillId="0" borderId="37" xfId="0" applyNumberFormat="1" applyFont="1" applyBorder="1" applyAlignment="1">
      <alignment horizontal="center" vertical="top" wrapText="1"/>
    </xf>
    <xf numFmtId="172" fontId="3" fillId="0" borderId="16" xfId="0" applyNumberFormat="1" applyFont="1" applyBorder="1" applyAlignment="1">
      <alignment horizontal="center" vertical="top" wrapText="1"/>
    </xf>
    <xf numFmtId="165" fontId="3" fillId="0" borderId="15" xfId="0" applyNumberFormat="1" applyFont="1" applyBorder="1" applyAlignment="1">
      <alignment horizontal="center" vertical="top" wrapText="1"/>
    </xf>
    <xf numFmtId="172" fontId="3" fillId="16" borderId="17" xfId="0" applyNumberFormat="1" applyFont="1" applyFill="1" applyBorder="1"/>
    <xf numFmtId="172" fontId="52" fillId="16" borderId="16" xfId="0" applyNumberFormat="1" applyFont="1" applyFill="1" applyBorder="1"/>
    <xf numFmtId="172" fontId="51" fillId="16" borderId="0" xfId="0" applyNumberFormat="1" applyFont="1" applyFill="1" applyAlignment="1">
      <alignment horizontal="center" vertical="center" wrapText="1"/>
    </xf>
    <xf numFmtId="0" fontId="3" fillId="16" borderId="40" xfId="0" applyFont="1" applyFill="1" applyBorder="1"/>
    <xf numFmtId="0" fontId="53" fillId="16" borderId="16" xfId="0" quotePrefix="1" applyFont="1" applyFill="1" applyBorder="1" applyAlignment="1">
      <alignment horizontal="left" indent="1"/>
    </xf>
    <xf numFmtId="172" fontId="3" fillId="0" borderId="15" xfId="0" applyNumberFormat="1" applyFont="1" applyBorder="1" applyAlignment="1">
      <alignment horizontal="center" vertical="center"/>
    </xf>
    <xf numFmtId="172" fontId="3" fillId="16" borderId="41" xfId="0" applyNumberFormat="1" applyFont="1" applyFill="1" applyBorder="1" applyAlignment="1">
      <alignment horizontal="center" vertical="center"/>
    </xf>
    <xf numFmtId="165" fontId="3" fillId="0" borderId="16" xfId="0" applyNumberFormat="1" applyFont="1" applyBorder="1" applyAlignment="1">
      <alignment horizontal="center" vertical="center"/>
    </xf>
    <xf numFmtId="172" fontId="53" fillId="16" borderId="16" xfId="0" quotePrefix="1" applyNumberFormat="1" applyFont="1" applyFill="1" applyBorder="1" applyAlignment="1">
      <alignment horizontal="left" indent="1"/>
    </xf>
    <xf numFmtId="172" fontId="52" fillId="16" borderId="0" xfId="0" applyNumberFormat="1" applyFont="1" applyFill="1" applyAlignment="1">
      <alignment horizontal="center" vertical="center" wrapText="1"/>
    </xf>
    <xf numFmtId="0" fontId="15" fillId="14" borderId="19" xfId="0" applyFont="1" applyFill="1" applyBorder="1" applyAlignment="1">
      <alignment vertical="center" wrapText="1"/>
    </xf>
    <xf numFmtId="169" fontId="17" fillId="0" borderId="3" xfId="0" applyNumberFormat="1" applyFont="1" applyBorder="1" applyAlignment="1">
      <alignment horizontal="center" vertical="center" wrapText="1"/>
    </xf>
    <xf numFmtId="17" fontId="3" fillId="0" borderId="0" xfId="0" applyNumberFormat="1" applyFont="1" applyAlignment="1">
      <alignment horizontal="center" vertical="center" wrapText="1"/>
    </xf>
    <xf numFmtId="165" fontId="17" fillId="0" borderId="2" xfId="0" applyNumberFormat="1" applyFont="1" applyBorder="1" applyAlignment="1">
      <alignment horizontal="center" vertical="center" wrapText="1"/>
    </xf>
    <xf numFmtId="0" fontId="3" fillId="4" borderId="3" xfId="0" applyFont="1" applyFill="1" applyBorder="1" applyAlignment="1">
      <alignment vertical="center" wrapText="1"/>
    </xf>
    <xf numFmtId="0" fontId="75" fillId="16" borderId="8" xfId="0" applyFont="1" applyFill="1" applyBorder="1" applyAlignment="1">
      <alignment horizontal="center" vertical="center"/>
    </xf>
    <xf numFmtId="0" fontId="3" fillId="24" borderId="8" xfId="0" applyFont="1" applyFill="1" applyBorder="1" applyAlignment="1">
      <alignment horizontal="left" vertical="center" wrapText="1" indent="1"/>
    </xf>
    <xf numFmtId="0" fontId="3" fillId="24" borderId="11" xfId="0" applyFont="1" applyFill="1" applyBorder="1" applyAlignment="1">
      <alignment horizontal="left" vertical="center" wrapText="1" indent="1"/>
    </xf>
    <xf numFmtId="0" fontId="59" fillId="7" borderId="9" xfId="0" applyFont="1" applyFill="1" applyBorder="1" applyAlignment="1">
      <alignment horizontal="center" vertical="center" wrapText="1"/>
    </xf>
    <xf numFmtId="0" fontId="56" fillId="16" borderId="0" xfId="4" applyFont="1" applyFill="1" applyAlignment="1" applyProtection="1">
      <alignment horizontal="center" vertical="center"/>
    </xf>
    <xf numFmtId="0" fontId="6" fillId="21" borderId="0" xfId="0" applyFont="1" applyFill="1" applyAlignment="1">
      <alignment horizontal="center" vertical="center"/>
    </xf>
    <xf numFmtId="0" fontId="72" fillId="21" borderId="0" xfId="0" applyFont="1" applyFill="1" applyAlignment="1">
      <alignment horizontal="left" vertical="center"/>
    </xf>
    <xf numFmtId="0" fontId="72" fillId="21" borderId="0" xfId="0" applyFont="1" applyFill="1" applyAlignment="1">
      <alignment horizontal="center" vertical="center"/>
    </xf>
    <xf numFmtId="0" fontId="36" fillId="16" borderId="0" xfId="0" applyFont="1" applyFill="1" applyAlignment="1">
      <alignment horizontal="left" vertical="center" wrapText="1"/>
    </xf>
    <xf numFmtId="0" fontId="59" fillId="10" borderId="0" xfId="0" applyFont="1" applyFill="1" applyAlignment="1">
      <alignment horizontal="center" vertical="center" wrapText="1"/>
    </xf>
    <xf numFmtId="0" fontId="59" fillId="10" borderId="5" xfId="0" applyFont="1" applyFill="1" applyBorder="1" applyAlignment="1">
      <alignment horizontal="center" vertical="center" wrapText="1"/>
    </xf>
    <xf numFmtId="0" fontId="11" fillId="16" borderId="0" xfId="0" applyFont="1" applyFill="1" applyAlignment="1">
      <alignment horizontal="left" vertical="center" wrapText="1"/>
    </xf>
    <xf numFmtId="0" fontId="11" fillId="16" borderId="0" xfId="0" applyFont="1" applyFill="1" applyAlignment="1">
      <alignment horizontal="left" vertical="center"/>
    </xf>
    <xf numFmtId="0" fontId="24" fillId="21" borderId="0" xfId="0" applyFont="1" applyFill="1" applyAlignment="1">
      <alignment horizontal="center" vertical="center"/>
    </xf>
    <xf numFmtId="0" fontId="15" fillId="11" borderId="19" xfId="0" applyFont="1" applyFill="1" applyBorder="1" applyAlignment="1">
      <alignment horizontal="center" vertical="center" wrapText="1"/>
    </xf>
    <xf numFmtId="0" fontId="63" fillId="21" borderId="19" xfId="0" applyFont="1" applyFill="1" applyBorder="1" applyAlignment="1">
      <alignment horizontal="center" vertical="center" wrapText="1"/>
    </xf>
    <xf numFmtId="0" fontId="63" fillId="21" borderId="14" xfId="0" applyFont="1" applyFill="1" applyBorder="1" applyAlignment="1">
      <alignment horizontal="center" vertical="center" wrapText="1"/>
    </xf>
    <xf numFmtId="0" fontId="23" fillId="21" borderId="19" xfId="0" applyFont="1" applyFill="1" applyBorder="1" applyAlignment="1">
      <alignment horizontal="center" vertical="center" wrapText="1"/>
    </xf>
    <xf numFmtId="0" fontId="23" fillId="21" borderId="14" xfId="0" applyFont="1" applyFill="1" applyBorder="1" applyAlignment="1">
      <alignment horizontal="center" vertical="center" wrapText="1"/>
    </xf>
    <xf numFmtId="0" fontId="15" fillId="9" borderId="19" xfId="0" applyFont="1" applyFill="1" applyBorder="1" applyAlignment="1">
      <alignment horizontal="center" vertical="center" wrapText="1"/>
    </xf>
    <xf numFmtId="0" fontId="73" fillId="16" borderId="0" xfId="0" applyFont="1" applyFill="1" applyAlignment="1">
      <alignment horizontal="left" vertical="center" wrapText="1" indent="2"/>
    </xf>
    <xf numFmtId="9" fontId="3" fillId="0" borderId="42" xfId="0" applyNumberFormat="1" applyFont="1" applyBorder="1" applyAlignment="1">
      <alignment horizontal="center" vertical="center" wrapText="1"/>
    </xf>
    <xf numFmtId="9" fontId="3" fillId="0" borderId="38" xfId="0" applyNumberFormat="1" applyFont="1" applyBorder="1" applyAlignment="1">
      <alignment horizontal="center" vertical="center" wrapText="1"/>
    </xf>
    <xf numFmtId="9" fontId="3" fillId="0" borderId="43" xfId="0" applyNumberFormat="1" applyFont="1" applyBorder="1" applyAlignment="1">
      <alignment horizontal="center" vertical="center" wrapText="1"/>
    </xf>
    <xf numFmtId="0" fontId="35" fillId="3" borderId="0" xfId="0" applyFont="1" applyFill="1" applyAlignment="1">
      <alignment horizontal="left" vertical="center" wrapText="1"/>
    </xf>
    <xf numFmtId="9" fontId="65" fillId="0" borderId="31" xfId="0" applyNumberFormat="1" applyFont="1" applyBorder="1" applyAlignment="1">
      <alignment horizontal="center" vertical="center" wrapText="1"/>
    </xf>
    <xf numFmtId="9" fontId="65" fillId="0" borderId="32" xfId="0" applyNumberFormat="1" applyFont="1" applyBorder="1" applyAlignment="1">
      <alignment horizontal="center" vertical="center" wrapText="1"/>
    </xf>
    <xf numFmtId="9" fontId="65" fillId="0" borderId="33" xfId="0" applyNumberFormat="1" applyFont="1" applyBorder="1" applyAlignment="1">
      <alignment horizontal="center" vertical="center" wrapText="1"/>
    </xf>
    <xf numFmtId="9" fontId="65" fillId="0" borderId="18" xfId="0" applyNumberFormat="1" applyFont="1" applyBorder="1" applyAlignment="1">
      <alignment horizontal="center" vertical="center" wrapText="1"/>
    </xf>
    <xf numFmtId="9" fontId="65" fillId="0" borderId="34" xfId="0" applyNumberFormat="1" applyFont="1" applyBorder="1" applyAlignment="1">
      <alignment horizontal="center" vertical="center" wrapText="1"/>
    </xf>
    <xf numFmtId="9" fontId="65" fillId="0" borderId="35" xfId="0" applyNumberFormat="1" applyFont="1" applyBorder="1" applyAlignment="1">
      <alignment horizontal="center" vertical="center" wrapText="1"/>
    </xf>
    <xf numFmtId="0" fontId="65" fillId="4" borderId="0" xfId="0" applyFont="1" applyFill="1" applyAlignment="1">
      <alignment horizontal="center" vertical="center" wrapText="1"/>
    </xf>
    <xf numFmtId="0" fontId="65" fillId="4" borderId="18" xfId="0" applyFont="1" applyFill="1" applyBorder="1" applyAlignment="1">
      <alignment horizontal="center" vertical="center" wrapText="1"/>
    </xf>
    <xf numFmtId="0" fontId="52" fillId="16" borderId="0" xfId="0" applyFont="1" applyFill="1" applyAlignment="1" applyProtection="1">
      <alignment horizontal="center" vertical="center" wrapText="1"/>
      <protection locked="0"/>
    </xf>
    <xf numFmtId="0" fontId="71" fillId="16" borderId="0" xfId="0" applyFont="1" applyFill="1" applyAlignment="1" applyProtection="1">
      <alignment horizontal="center" vertical="center" wrapText="1"/>
      <protection locked="0"/>
    </xf>
    <xf numFmtId="0" fontId="71" fillId="16" borderId="0" xfId="0" applyFont="1" applyFill="1" applyAlignment="1" applyProtection="1">
      <alignment horizontal="center" wrapText="1"/>
      <protection locked="0"/>
    </xf>
    <xf numFmtId="0" fontId="49" fillId="16" borderId="0" xfId="0" applyFont="1" applyFill="1" applyAlignment="1" applyProtection="1">
      <alignment horizontal="center"/>
      <protection locked="0"/>
    </xf>
    <xf numFmtId="0" fontId="3" fillId="0" borderId="0" xfId="0" applyFont="1" applyAlignment="1">
      <alignment horizontal="center" vertical="center"/>
    </xf>
    <xf numFmtId="0" fontId="3" fillId="0" borderId="18" xfId="0" applyFont="1" applyBorder="1" applyAlignment="1">
      <alignment horizontal="center" vertical="center"/>
    </xf>
    <xf numFmtId="0" fontId="21" fillId="16" borderId="0" xfId="0" applyFont="1" applyFill="1" applyAlignment="1" applyProtection="1">
      <alignment horizontal="center" vertical="top" wrapText="1"/>
      <protection locked="0"/>
    </xf>
    <xf numFmtId="0" fontId="3" fillId="0" borderId="0" xfId="0" applyFont="1" applyAlignment="1">
      <alignment horizontal="center" wrapText="1"/>
    </xf>
    <xf numFmtId="0" fontId="3" fillId="0" borderId="25" xfId="0" applyFont="1" applyBorder="1" applyAlignment="1">
      <alignment horizontal="center" vertical="top" wrapText="1"/>
    </xf>
    <xf numFmtId="0" fontId="3" fillId="0" borderId="26" xfId="0" applyFont="1" applyBorder="1" applyAlignment="1">
      <alignment horizontal="center" vertical="top" wrapText="1"/>
    </xf>
    <xf numFmtId="9" fontId="3" fillId="0" borderId="21" xfId="0" applyNumberFormat="1" applyFont="1" applyBorder="1" applyAlignment="1">
      <alignment horizontal="center" vertical="center"/>
    </xf>
    <xf numFmtId="0" fontId="3" fillId="0" borderId="21" xfId="0" applyFont="1" applyBorder="1" applyAlignment="1">
      <alignment horizontal="center" vertical="center"/>
    </xf>
    <xf numFmtId="0" fontId="66" fillId="16" borderId="0" xfId="0" applyFont="1" applyFill="1" applyAlignment="1">
      <alignment horizontal="center" wrapText="1"/>
    </xf>
    <xf numFmtId="0" fontId="3" fillId="22" borderId="2" xfId="0" applyFont="1" applyFill="1" applyBorder="1" applyAlignment="1">
      <alignment horizontal="center"/>
    </xf>
    <xf numFmtId="0" fontId="27" fillId="22" borderId="2" xfId="0" applyFont="1" applyFill="1" applyBorder="1" applyAlignment="1">
      <alignment horizontal="center" vertical="center"/>
    </xf>
    <xf numFmtId="0" fontId="3" fillId="0" borderId="0" xfId="0" applyNumberFormat="1" applyFont="1"/>
  </cellXfs>
  <cellStyles count="6">
    <cellStyle name="20% - Accent1" xfId="1" builtinId="30"/>
    <cellStyle name="Hyperlink" xfId="4" builtinId="8"/>
    <cellStyle name="Normal" xfId="0" builtinId="0"/>
    <cellStyle name="Normal 2" xfId="2" xr:uid="{00000000-0005-0000-0000-000002000000}"/>
    <cellStyle name="Normal 3" xfId="5" xr:uid="{63E2C39A-94B4-45AB-9ED9-05EFD7F250D6}"/>
    <cellStyle name="Percent" xfId="3" builtinId="5"/>
  </cellStyles>
  <dxfs count="120">
    <dxf>
      <font>
        <color rgb="FF9C0006"/>
      </font>
      <fill>
        <patternFill>
          <bgColor rgb="FFFFC7CE"/>
        </patternFill>
      </fill>
    </dxf>
    <dxf>
      <font>
        <color theme="2" tint="-0.749961851863155"/>
      </font>
      <fill>
        <patternFill>
          <bgColor theme="2" tint="-0.24994659260841701"/>
        </patternFill>
      </fill>
    </dxf>
    <dxf>
      <font>
        <color theme="2" tint="-0.749961851863155"/>
      </font>
      <fill>
        <patternFill>
          <bgColor theme="2" tint="-0.24994659260841701"/>
        </patternFill>
      </fill>
    </dxf>
    <dxf>
      <font>
        <color rgb="FF9C0006"/>
      </font>
      <fill>
        <patternFill>
          <bgColor rgb="FFFFC7CE"/>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b val="0"/>
        <i val="0"/>
        <color auto="1"/>
      </font>
      <fill>
        <patternFill>
          <bgColor theme="5" tint="0.59996337778862885"/>
        </patternFill>
      </fill>
    </dxf>
    <dxf>
      <font>
        <color auto="1"/>
      </font>
      <fill>
        <patternFill>
          <bgColor rgb="FFFFFFB3"/>
        </patternFill>
      </fill>
    </dxf>
    <dxf>
      <font>
        <color auto="1"/>
      </font>
      <fill>
        <patternFill>
          <bgColor theme="0" tint="-0.14996795556505021"/>
        </patternFill>
      </fill>
    </dxf>
    <dxf>
      <fill>
        <patternFill>
          <bgColor theme="0"/>
        </patternFill>
      </fill>
    </dxf>
    <dxf>
      <font>
        <color theme="0" tint="-0.499984740745262"/>
      </font>
      <fill>
        <patternFill>
          <bgColor theme="0" tint="-0.24994659260841701"/>
        </patternFill>
      </fill>
    </dxf>
    <dxf>
      <font>
        <b val="0"/>
        <i val="0"/>
        <color auto="1"/>
      </font>
      <fill>
        <patternFill>
          <bgColor theme="5" tint="0.59996337778862885"/>
        </patternFill>
      </fill>
    </dxf>
    <dxf>
      <font>
        <color auto="1"/>
      </font>
      <fill>
        <patternFill>
          <bgColor theme="7" tint="0.79998168889431442"/>
        </patternFill>
      </fill>
    </dxf>
    <dxf>
      <font>
        <color theme="1"/>
      </font>
      <fill>
        <patternFill patternType="solid">
          <bgColor theme="4" tint="0.59996337778862885"/>
        </patternFill>
      </fill>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border diagonalUp="0" diagonalDown="0" outline="0">
        <left style="thin">
          <color indexed="64"/>
        </left>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4" formatCode="#,##0.00"/>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20" formatCode="dd/mmm/yy"/>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border>
      <protection locked="1" hidden="0"/>
    </dxf>
    <dxf>
      <font>
        <strike val="0"/>
        <outline val="0"/>
        <shadow val="0"/>
        <u val="none"/>
        <vertAlign val="baseline"/>
        <name val="Tw Cen MT"/>
        <family val="2"/>
        <scheme val="none"/>
      </font>
      <numFmt numFmtId="20" formatCode="dd/mmm/yy"/>
      <fill>
        <patternFill patternType="none">
          <fgColor indexed="64"/>
          <bgColor auto="1"/>
        </patternFill>
      </fill>
      <alignment horizont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Tw Cen MT"/>
        <family val="2"/>
        <scheme val="none"/>
      </font>
      <fill>
        <patternFill patternType="none">
          <fgColor indexed="64"/>
          <bgColor auto="1"/>
        </patternFill>
      </fill>
    </dxf>
    <dxf>
      <border>
        <bottom style="thin">
          <color indexed="64"/>
        </bottom>
      </border>
    </dxf>
    <dxf>
      <font>
        <b/>
        <strike val="0"/>
        <outline val="0"/>
        <shadow val="0"/>
        <u val="none"/>
        <vertAlign val="baseline"/>
        <name val="Tw Cen MT"/>
        <family val="2"/>
        <scheme val="none"/>
      </font>
      <fill>
        <patternFill patternType="solid">
          <fgColor indexed="64"/>
          <bgColor theme="0" tint="-0.14999847407452621"/>
        </patternFill>
      </fill>
      <alignment vertical="center" textRotation="0" wrapText="0" indent="0" justifyLastLine="0" shrinkToFit="0" readingOrder="0"/>
      <border diagonalUp="0" diagonalDown="0" outline="0">
        <left style="thin">
          <color indexed="64"/>
        </left>
        <right style="thin">
          <color indexed="64"/>
        </right>
        <top/>
        <bottom/>
      </border>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0" tint="-0.34998626667073579"/>
        <name val="Tw Cen MT"/>
        <family val="2"/>
        <scheme val="none"/>
      </font>
      <numFmt numFmtId="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w Cen MT"/>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strike val="0"/>
        <condense val="0"/>
        <extend val="0"/>
        <outline val="0"/>
        <shadow val="0"/>
        <u val="none"/>
        <vertAlign val="baseline"/>
        <sz val="12"/>
        <color auto="1"/>
        <name val="Tw Cen MT"/>
        <family val="2"/>
        <scheme val="none"/>
      </font>
      <numFmt numFmtId="169" formatCode="[hh]:mm"/>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i val="0"/>
        <strike val="0"/>
        <condense val="0"/>
        <extend val="0"/>
        <outline val="0"/>
        <shadow val="0"/>
        <u val="none"/>
        <vertAlign val="baseline"/>
        <sz val="11"/>
        <color theme="0"/>
        <name val="Tw Cen MT"/>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165" formatCode="[h]:mm"/>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2" tint="-0.249977111117893"/>
        <name val="Tw Cen MT"/>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theme="4" tint="0.79998168889431442"/>
          <bgColor auto="1"/>
        </patternFill>
      </fill>
      <alignmen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Tw Cen MT"/>
        <family val="2"/>
        <scheme val="none"/>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5" tint="0.79998168889431442"/>
        </patternFill>
      </fill>
    </dxf>
    <dxf>
      <font>
        <name val="Tw Cen MT"/>
        <family val="2"/>
        <scheme val="none"/>
      </font>
      <fill>
        <patternFill>
          <fgColor theme="5" tint="0.39994506668294322"/>
          <bgColor theme="5" tint="0.79998168889431442"/>
        </patternFill>
      </fill>
      <border>
        <left style="thin">
          <color auto="1"/>
        </left>
        <right style="thin">
          <color auto="1"/>
        </right>
        <top style="thin">
          <color auto="1"/>
        </top>
        <bottom style="thin">
          <color auto="1"/>
        </bottom>
      </border>
    </dxf>
    <dxf>
      <font>
        <name val="Tw Cen MT"/>
        <family val="2"/>
        <scheme val="none"/>
      </font>
    </dxf>
    <dxf>
      <fill>
        <patternFill>
          <bgColor theme="5" tint="0.79998168889431442"/>
        </patternFill>
      </fill>
    </dxf>
  </dxfs>
  <tableStyles count="4" defaultTableStyle="TableStyleMedium2" defaultPivotStyle="PivotStyleLight16">
    <tableStyle name="Custom" pivot="0" table="0" count="1" xr9:uid="{DC734EF2-6C3E-42EC-833B-0B8215A11C2F}">
      <tableStyleElement type="wholeTable" dxfId="119"/>
    </tableStyle>
    <tableStyle name="Slicer Style 1" pivot="0" table="0" count="1" xr9:uid="{F57D6513-AC47-4077-9F8D-C40FD9A6BFDA}">
      <tableStyleElement type="wholeTable" dxfId="118"/>
    </tableStyle>
    <tableStyle name="Slicer Style 2" pivot="0" table="0" count="1" xr9:uid="{01BD0BB3-5670-42DB-97C2-63B1C6D3857D}">
      <tableStyleElement type="wholeTable" dxfId="117"/>
    </tableStyle>
    <tableStyle name="Slicer Style 3" pivot="0" table="0" count="1" xr9:uid="{93557E10-2300-44AC-8EEB-27707F876CC7}">
      <tableStyleElement type="headerRow" dxfId="116"/>
    </tableStyle>
  </tableStyles>
  <colors>
    <mruColors>
      <color rgb="FFFFEBDD"/>
      <color rgb="FFFDECE3"/>
      <color rgb="FFFFF4D1"/>
      <color rgb="FFE2AA00"/>
      <color rgb="FFFFD184"/>
      <color rgb="FFFFF3EB"/>
      <color rgb="FFFF4747"/>
      <color rgb="FFC7E7A3"/>
      <color rgb="FFB2DE82"/>
      <color rgb="FFFF7979"/>
    </mruColors>
  </colors>
  <extLst>
    <ext xmlns:x14="http://schemas.microsoft.com/office/spreadsheetml/2009/9/main" uri="{EB79DEF2-80B8-43e5-95BD-54CBDDF9020C}">
      <x14:slicerStyles defaultSlicerStyle="SlicerStyleLight1">
        <x14:slicerStyle name="Custom"/>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 Progress'!$X$32</c:f>
              <c:strCache>
                <c:ptCount val="1"/>
                <c:pt idx="0">
                  <c:v>Syllubus(T)</c:v>
                </c:pt>
              </c:strCache>
            </c:strRef>
          </c:tx>
          <c:spPr>
            <a:solidFill>
              <a:schemeClr val="bg2">
                <a:lumMod val="90000"/>
              </a:schemeClr>
            </a:solidFill>
            <a:ln>
              <a:noFill/>
            </a:ln>
            <a:effectLst/>
          </c:spPr>
          <c:invertIfNegative val="0"/>
          <c:dLbls>
            <c:dLbl>
              <c:idx val="0"/>
              <c:tx>
                <c:rich>
                  <a:bodyPr/>
                  <a:lstStyle/>
                  <a:p>
                    <a:fld id="{04D8E083-7793-4171-B896-6167C512241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54EE-422A-8173-85E89CCAC774}"/>
                </c:ext>
              </c:extLst>
            </c:dLbl>
            <c:dLbl>
              <c:idx val="1"/>
              <c:tx>
                <c:rich>
                  <a:bodyPr/>
                  <a:lstStyle/>
                  <a:p>
                    <a:fld id="{76F59AAC-9FF9-415D-BAE8-2ED873FF084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4EE-422A-8173-85E89CCAC774}"/>
                </c:ext>
              </c:extLst>
            </c:dLbl>
            <c:dLbl>
              <c:idx val="2"/>
              <c:tx>
                <c:rich>
                  <a:bodyPr/>
                  <a:lstStyle/>
                  <a:p>
                    <a:fld id="{8E312852-AA7B-4D28-B5AF-358CB600866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4EE-422A-8173-85E89CCAC774}"/>
                </c:ext>
              </c:extLst>
            </c:dLbl>
            <c:dLbl>
              <c:idx val="3"/>
              <c:tx>
                <c:rich>
                  <a:bodyPr/>
                  <a:lstStyle/>
                  <a:p>
                    <a:fld id="{8CBDDF1C-C5E2-44E8-A5EE-74444813EE2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Progress'!$X$33:$X$36</c:f>
              <c:numCache>
                <c:formatCode>0%</c:formatCode>
                <c:ptCount val="4"/>
                <c:pt idx="0">
                  <c:v>1</c:v>
                </c:pt>
                <c:pt idx="1">
                  <c:v>1</c:v>
                </c:pt>
                <c:pt idx="2">
                  <c:v>1</c:v>
                </c:pt>
                <c:pt idx="3">
                  <c:v>1</c:v>
                </c:pt>
              </c:numCache>
            </c:numRef>
          </c:val>
          <c:extLst>
            <c:ext xmlns:c15="http://schemas.microsoft.com/office/drawing/2012/chart" uri="{02D57815-91ED-43cb-92C2-25804820EDAC}">
              <c15:datalabelsRange>
                <c15:f>'📊 Progress'!$P$33:$P$36</c15:f>
                <c15:dlblRangeCache>
                  <c:ptCount val="4"/>
                  <c:pt idx="0">
                    <c:v>11</c:v>
                  </c:pt>
                  <c:pt idx="1">
                    <c:v>15</c:v>
                  </c:pt>
                  <c:pt idx="2">
                    <c:v>20</c:v>
                  </c:pt>
                  <c:pt idx="3">
                    <c:v>17</c:v>
                  </c:pt>
                </c15:dlblRangeCache>
              </c15:datalabelsRange>
            </c:ext>
            <c:ext xmlns:c16="http://schemas.microsoft.com/office/drawing/2014/chart" uri="{C3380CC4-5D6E-409C-BE32-E72D297353CC}">
              <c16:uniqueId val="{0000000A-54EE-422A-8173-85E89CCAC774}"/>
            </c:ext>
          </c:extLst>
        </c:ser>
        <c:ser>
          <c:idx val="3"/>
          <c:order val="3"/>
          <c:tx>
            <c:strRef>
              <c:f>'📊 Progress'!$Z$32</c:f>
              <c:strCache>
                <c:ptCount val="1"/>
                <c:pt idx="0">
                  <c:v>Practice(T)</c:v>
                </c:pt>
              </c:strCache>
            </c:strRef>
          </c:tx>
          <c:spPr>
            <a:solidFill>
              <a:schemeClr val="accent2">
                <a:lumMod val="40000"/>
                <a:lumOff val="60000"/>
              </a:schemeClr>
            </a:solidFill>
            <a:ln>
              <a:noFill/>
            </a:ln>
            <a:effectLst/>
          </c:spPr>
          <c:invertIfNegative val="0"/>
          <c:dLbls>
            <c:dLbl>
              <c:idx val="0"/>
              <c:tx>
                <c:rich>
                  <a:bodyPr/>
                  <a:lstStyle/>
                  <a:p>
                    <a:fld id="{EEF4B24E-CD37-4E17-BB94-3F82FC86FF6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4EE-422A-8173-85E89CCAC774}"/>
                </c:ext>
              </c:extLst>
            </c:dLbl>
            <c:dLbl>
              <c:idx val="1"/>
              <c:tx>
                <c:rich>
                  <a:bodyPr/>
                  <a:lstStyle/>
                  <a:p>
                    <a:fld id="{FB2D885B-F988-4AAD-9E3C-955F5EE0690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4EE-422A-8173-85E89CCAC774}"/>
                </c:ext>
              </c:extLst>
            </c:dLbl>
            <c:dLbl>
              <c:idx val="2"/>
              <c:tx>
                <c:rich>
                  <a:bodyPr/>
                  <a:lstStyle/>
                  <a:p>
                    <a:fld id="{65A75632-DAA2-40F0-BDD7-C7CACF5577F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4EE-422A-8173-85E89CCAC774}"/>
                </c:ext>
              </c:extLst>
            </c:dLbl>
            <c:dLbl>
              <c:idx val="3"/>
              <c:tx>
                <c:rich>
                  <a:bodyPr/>
                  <a:lstStyle/>
                  <a:p>
                    <a:fld id="{249FEB3E-9D55-4755-8DEE-29A05158C37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Progress'!$Z$33:$Z$36</c:f>
              <c:numCache>
                <c:formatCode>0%</c:formatCode>
                <c:ptCount val="4"/>
                <c:pt idx="0">
                  <c:v>1</c:v>
                </c:pt>
                <c:pt idx="1">
                  <c:v>1</c:v>
                </c:pt>
                <c:pt idx="2">
                  <c:v>1</c:v>
                </c:pt>
                <c:pt idx="3">
                  <c:v>1</c:v>
                </c:pt>
              </c:numCache>
            </c:numRef>
          </c:val>
          <c:extLst>
            <c:ext xmlns:c15="http://schemas.microsoft.com/office/drawing/2012/chart" uri="{02D57815-91ED-43cb-92C2-25804820EDAC}">
              <c15:datalabelsRange>
                <c15:f>'📊 Progress'!$N$33:$N$36</c15:f>
                <c15:dlblRangeCache>
                  <c:ptCount val="4"/>
                  <c:pt idx="0">
                    <c:v>11</c:v>
                  </c:pt>
                  <c:pt idx="1">
                    <c:v>15</c:v>
                  </c:pt>
                  <c:pt idx="2">
                    <c:v>20</c:v>
                  </c:pt>
                  <c:pt idx="3">
                    <c:v>17</c:v>
                  </c:pt>
                </c15:dlblRangeCache>
              </c15:datalabelsRange>
            </c:ext>
            <c:ext xmlns:c16="http://schemas.microsoft.com/office/drawing/2014/chart" uri="{C3380CC4-5D6E-409C-BE32-E72D297353CC}">
              <c16:uniqueId val="{00000015-54EE-422A-8173-85E89CCAC774}"/>
            </c:ext>
          </c:extLst>
        </c:ser>
        <c:ser>
          <c:idx val="5"/>
          <c:order val="5"/>
          <c:tx>
            <c:strRef>
              <c:f>'📊 Progress'!$AB$32</c:f>
              <c:strCache>
                <c:ptCount val="1"/>
                <c:pt idx="0">
                  <c:v>Revision(T)</c:v>
                </c:pt>
              </c:strCache>
            </c:strRef>
          </c:tx>
          <c:spPr>
            <a:solidFill>
              <a:schemeClr val="accent1">
                <a:lumMod val="20000"/>
                <a:lumOff val="80000"/>
              </a:schemeClr>
            </a:solidFill>
            <a:ln>
              <a:noFill/>
            </a:ln>
            <a:effectLst/>
          </c:spPr>
          <c:invertIfNegative val="0"/>
          <c:dLbls>
            <c:dLbl>
              <c:idx val="0"/>
              <c:tx>
                <c:rich>
                  <a:bodyPr/>
                  <a:lstStyle/>
                  <a:p>
                    <a:fld id="{5DC65FAB-C898-4FFF-AA43-1B36FC95015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54EE-422A-8173-85E89CCAC774}"/>
                </c:ext>
              </c:extLst>
            </c:dLbl>
            <c:dLbl>
              <c:idx val="1"/>
              <c:tx>
                <c:rich>
                  <a:bodyPr/>
                  <a:lstStyle/>
                  <a:p>
                    <a:fld id="{14F98270-0748-4B93-993C-B2F2DD5B105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4EE-422A-8173-85E89CCAC774}"/>
                </c:ext>
              </c:extLst>
            </c:dLbl>
            <c:dLbl>
              <c:idx val="2"/>
              <c:tx>
                <c:rich>
                  <a:bodyPr/>
                  <a:lstStyle/>
                  <a:p>
                    <a:fld id="{D7EB0DCF-F75A-4992-9016-E1708CAF8AD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4EE-422A-8173-85E89CCAC774}"/>
                </c:ext>
              </c:extLst>
            </c:dLbl>
            <c:dLbl>
              <c:idx val="3"/>
              <c:tx>
                <c:rich>
                  <a:bodyPr/>
                  <a:lstStyle/>
                  <a:p>
                    <a:fld id="{DCDE11DB-107D-4B93-843B-B62E90BC035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54EE-422A-8173-85E89CCAC77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Progress'!$AB$33:$AB$36</c:f>
              <c:numCache>
                <c:formatCode>0%</c:formatCode>
                <c:ptCount val="4"/>
                <c:pt idx="0">
                  <c:v>1</c:v>
                </c:pt>
                <c:pt idx="1">
                  <c:v>1</c:v>
                </c:pt>
                <c:pt idx="2">
                  <c:v>1</c:v>
                </c:pt>
                <c:pt idx="3">
                  <c:v>1</c:v>
                </c:pt>
              </c:numCache>
            </c:numRef>
          </c:val>
          <c:extLst>
            <c:ext xmlns:c15="http://schemas.microsoft.com/office/drawing/2012/chart" uri="{02D57815-91ED-43cb-92C2-25804820EDAC}">
              <c15:datalabelsRange>
                <c15:f>'📊 Progress'!$L$33:$L$36</c15:f>
                <c15:dlblRangeCache>
                  <c:ptCount val="4"/>
                  <c:pt idx="0">
                    <c:v>11</c:v>
                  </c:pt>
                  <c:pt idx="1">
                    <c:v>15</c:v>
                  </c:pt>
                  <c:pt idx="2">
                    <c:v>20</c:v>
                  </c:pt>
                  <c:pt idx="3">
                    <c:v>17</c:v>
                  </c:pt>
                </c15:dlblRangeCache>
              </c15:datalabelsRange>
            </c:ext>
            <c:ext xmlns:c16="http://schemas.microsoft.com/office/drawing/2014/chart" uri="{C3380CC4-5D6E-409C-BE32-E72D297353CC}">
              <c16:uniqueId val="{00000020-54EE-422A-8173-85E89CCAC774}"/>
            </c:ext>
          </c:extLst>
        </c:ser>
        <c:ser>
          <c:idx val="7"/>
          <c:order val="7"/>
          <c:tx>
            <c:strRef>
              <c:f>'📊 Progress'!$AD$32</c:f>
              <c:strCache>
                <c:ptCount val="1"/>
                <c:pt idx="0">
                  <c:v>Extra Practice (T)</c:v>
                </c:pt>
              </c:strCache>
            </c:strRef>
          </c:tx>
          <c:spPr>
            <a:solidFill>
              <a:schemeClr val="accent4">
                <a:lumMod val="20000"/>
                <a:lumOff val="80000"/>
              </a:schemeClr>
            </a:solidFill>
            <a:ln>
              <a:noFill/>
            </a:ln>
            <a:effectLst/>
          </c:spPr>
          <c:invertIfNegative val="0"/>
          <c:dLbls>
            <c:dLbl>
              <c:idx val="0"/>
              <c:tx>
                <c:rich>
                  <a:bodyPr/>
                  <a:lstStyle/>
                  <a:p>
                    <a:fld id="{CC26C7EA-FD18-4DB9-9C6C-2BB6A7DE20B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54EE-422A-8173-85E89CCAC774}"/>
                </c:ext>
              </c:extLst>
            </c:dLbl>
            <c:dLbl>
              <c:idx val="1"/>
              <c:tx>
                <c:rich>
                  <a:bodyPr/>
                  <a:lstStyle/>
                  <a:p>
                    <a:fld id="{AA73EF4D-8D87-499E-BABF-4DC12D82A41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4EE-422A-8173-85E89CCAC774}"/>
                </c:ext>
              </c:extLst>
            </c:dLbl>
            <c:dLbl>
              <c:idx val="2"/>
              <c:tx>
                <c:rich>
                  <a:bodyPr/>
                  <a:lstStyle/>
                  <a:p>
                    <a:fld id="{2AFF2D0B-BE43-47ED-93E5-3C144ECED74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4EE-422A-8173-85E89CCAC774}"/>
                </c:ext>
              </c:extLst>
            </c:dLbl>
            <c:dLbl>
              <c:idx val="3"/>
              <c:tx>
                <c:rich>
                  <a:bodyPr/>
                  <a:lstStyle/>
                  <a:p>
                    <a:fld id="{7466C763-13E7-46BA-99D3-9816F9ADD6D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4-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Progress'!$AD$33:$AD$36</c:f>
              <c:numCache>
                <c:formatCode>0%</c:formatCode>
                <c:ptCount val="4"/>
                <c:pt idx="0">
                  <c:v>1</c:v>
                </c:pt>
                <c:pt idx="1">
                  <c:v>1</c:v>
                </c:pt>
                <c:pt idx="2">
                  <c:v>1</c:v>
                </c:pt>
                <c:pt idx="3">
                  <c:v>1</c:v>
                </c:pt>
              </c:numCache>
            </c:numRef>
          </c:val>
          <c:extLst>
            <c:ext xmlns:c15="http://schemas.microsoft.com/office/drawing/2012/chart" uri="{02D57815-91ED-43cb-92C2-25804820EDAC}">
              <c15:datalabelsRange>
                <c15:f>'📊 Progress'!$S$33:$S$36</c15:f>
                <c15:dlblRangeCache>
                  <c:ptCount val="4"/>
                  <c:pt idx="0">
                    <c:v>11</c:v>
                  </c:pt>
                  <c:pt idx="1">
                    <c:v>15</c:v>
                  </c:pt>
                  <c:pt idx="2">
                    <c:v>20</c:v>
                  </c:pt>
                  <c:pt idx="3">
                    <c:v>17</c:v>
                  </c:pt>
                </c15:dlblRangeCache>
              </c15:datalabelsRange>
            </c:ext>
            <c:ext xmlns:c16="http://schemas.microsoft.com/office/drawing/2014/chart" uri="{C3380CC4-5D6E-409C-BE32-E72D297353CC}">
              <c16:uniqueId val="{0000002B-54EE-422A-8173-85E89CCAC774}"/>
            </c:ext>
          </c:extLst>
        </c:ser>
        <c:dLbls>
          <c:showLegendKey val="0"/>
          <c:showVal val="0"/>
          <c:showCatName val="0"/>
          <c:showSerName val="0"/>
          <c:showPercent val="0"/>
          <c:showBubbleSize val="0"/>
        </c:dLbls>
        <c:gapWidth val="50"/>
        <c:axId val="2102294271"/>
        <c:axId val="2102297183"/>
      </c:barChart>
      <c:barChart>
        <c:barDir val="col"/>
        <c:grouping val="clustered"/>
        <c:varyColors val="0"/>
        <c:ser>
          <c:idx val="0"/>
          <c:order val="0"/>
          <c:tx>
            <c:strRef>
              <c:f>'📊 Progress'!$W$32</c:f>
              <c:strCache>
                <c:ptCount val="1"/>
                <c:pt idx="0">
                  <c:v>Syllubus(D)</c:v>
                </c:pt>
              </c:strCache>
            </c:strRef>
          </c:tx>
          <c:spPr>
            <a:solidFill>
              <a:schemeClr val="tx1">
                <a:lumMod val="50000"/>
                <a:lumOff val="50000"/>
              </a:schemeClr>
            </a:solidFill>
            <a:ln>
              <a:noFill/>
            </a:ln>
            <a:effectLst/>
          </c:spPr>
          <c:invertIfNegative val="0"/>
          <c:dLbls>
            <c:dLbl>
              <c:idx val="0"/>
              <c:tx>
                <c:rich>
                  <a:bodyPr/>
                  <a:lstStyle/>
                  <a:p>
                    <a:fld id="{67032720-849D-450C-BCBB-45D9AEEEE23B}"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54EE-422A-8173-85E89CCAC774}"/>
                </c:ext>
              </c:extLst>
            </c:dLbl>
            <c:dLbl>
              <c:idx val="1"/>
              <c:tx>
                <c:rich>
                  <a:bodyPr/>
                  <a:lstStyle/>
                  <a:p>
                    <a:fld id="{11833C7D-555B-40F9-856A-498933C5DD4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54EE-422A-8173-85E89CCAC774}"/>
                </c:ext>
              </c:extLst>
            </c:dLbl>
            <c:dLbl>
              <c:idx val="2"/>
              <c:tx>
                <c:rich>
                  <a:bodyPr/>
                  <a:lstStyle/>
                  <a:p>
                    <a:fld id="{6439BCD2-98BC-44C6-8F0D-D645B64FE02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54EE-422A-8173-85E89CCAC774}"/>
                </c:ext>
              </c:extLst>
            </c:dLbl>
            <c:dLbl>
              <c:idx val="3"/>
              <c:tx>
                <c:rich>
                  <a:bodyPr/>
                  <a:lstStyle/>
                  <a:p>
                    <a:fld id="{9499096B-E728-4A17-B9EA-6BB61A9E5A3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54EE-422A-8173-85E89CCAC774}"/>
                </c:ext>
              </c:extLst>
            </c:dLbl>
            <c:numFmt formatCode="#,##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Progress'!$W$33:$W$36</c:f>
              <c:numCache>
                <c:formatCode>0%</c:formatCode>
                <c:ptCount val="4"/>
                <c:pt idx="0">
                  <c:v>0</c:v>
                </c:pt>
                <c:pt idx="1">
                  <c:v>0</c:v>
                </c:pt>
                <c:pt idx="2">
                  <c:v>0</c:v>
                </c:pt>
                <c:pt idx="3">
                  <c:v>0</c:v>
                </c:pt>
              </c:numCache>
            </c:numRef>
          </c:val>
          <c:extLst>
            <c:ext xmlns:c15="http://schemas.microsoft.com/office/drawing/2012/chart" uri="{02D57815-91ED-43cb-92C2-25804820EDAC}">
              <c15:datalabelsRange>
                <c15:f>'📊 Progress'!$O$33:$O$36</c15:f>
                <c15:dlblRangeCache>
                  <c:ptCount val="4"/>
                </c15:dlblRangeCache>
              </c15:datalabelsRange>
            </c:ext>
            <c:ext xmlns:c16="http://schemas.microsoft.com/office/drawing/2014/chart" uri="{C3380CC4-5D6E-409C-BE32-E72D297353CC}">
              <c16:uniqueId val="{00000036-54EE-422A-8173-85E89CCAC774}"/>
            </c:ext>
          </c:extLst>
        </c:ser>
        <c:ser>
          <c:idx val="2"/>
          <c:order val="2"/>
          <c:tx>
            <c:strRef>
              <c:f>'📊 Progress'!$Y$32</c:f>
              <c:strCache>
                <c:ptCount val="1"/>
                <c:pt idx="0">
                  <c:v>Practice(D)</c:v>
                </c:pt>
              </c:strCache>
            </c:strRef>
          </c:tx>
          <c:spPr>
            <a:solidFill>
              <a:srgbClr val="EC7524"/>
            </a:solidFill>
            <a:ln>
              <a:noFill/>
            </a:ln>
            <a:effectLst/>
          </c:spPr>
          <c:invertIfNegative val="0"/>
          <c:dLbls>
            <c:dLbl>
              <c:idx val="0"/>
              <c:tx>
                <c:rich>
                  <a:bodyPr/>
                  <a:lstStyle/>
                  <a:p>
                    <a:fld id="{5BD9A29A-5B65-4F58-A987-6A6BBB1F33EA}"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54EE-422A-8173-85E89CCAC774}"/>
                </c:ext>
              </c:extLst>
            </c:dLbl>
            <c:dLbl>
              <c:idx val="1"/>
              <c:tx>
                <c:rich>
                  <a:bodyPr/>
                  <a:lstStyle/>
                  <a:p>
                    <a:fld id="{D0B49E9F-DD91-43B0-8B7D-8EF973DE0DF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54EE-422A-8173-85E89CCAC774}"/>
                </c:ext>
              </c:extLst>
            </c:dLbl>
            <c:dLbl>
              <c:idx val="2"/>
              <c:tx>
                <c:rich>
                  <a:bodyPr/>
                  <a:lstStyle/>
                  <a:p>
                    <a:fld id="{F25D479C-8DED-4E11-95F4-7AB9AACABE5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54EE-422A-8173-85E89CCAC774}"/>
                </c:ext>
              </c:extLst>
            </c:dLbl>
            <c:dLbl>
              <c:idx val="3"/>
              <c:tx>
                <c:rich>
                  <a:bodyPr/>
                  <a:lstStyle/>
                  <a:p>
                    <a:fld id="{4B08E2A7-9E89-4855-A859-0E8C2AFC677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Progress'!$Y$33:$Y$36</c:f>
              <c:numCache>
                <c:formatCode>0%</c:formatCode>
                <c:ptCount val="4"/>
                <c:pt idx="0">
                  <c:v>0</c:v>
                </c:pt>
                <c:pt idx="1">
                  <c:v>0</c:v>
                </c:pt>
                <c:pt idx="2">
                  <c:v>0</c:v>
                </c:pt>
                <c:pt idx="3">
                  <c:v>0</c:v>
                </c:pt>
              </c:numCache>
            </c:numRef>
          </c:val>
          <c:extLst>
            <c:ext xmlns:c15="http://schemas.microsoft.com/office/drawing/2012/chart" uri="{02D57815-91ED-43cb-92C2-25804820EDAC}">
              <c15:datalabelsRange>
                <c15:f>'📊 Progress'!$M$33:$M$36</c15:f>
                <c15:dlblRangeCache>
                  <c:ptCount val="4"/>
                </c15:dlblRangeCache>
              </c15:datalabelsRange>
            </c:ext>
            <c:ext xmlns:c16="http://schemas.microsoft.com/office/drawing/2014/chart" uri="{C3380CC4-5D6E-409C-BE32-E72D297353CC}">
              <c16:uniqueId val="{00000041-54EE-422A-8173-85E89CCAC774}"/>
            </c:ext>
          </c:extLst>
        </c:ser>
        <c:ser>
          <c:idx val="4"/>
          <c:order val="4"/>
          <c:tx>
            <c:strRef>
              <c:f>'📊 Progress'!$AA$32</c:f>
              <c:strCache>
                <c:ptCount val="1"/>
                <c:pt idx="0">
                  <c:v>Revision(D)</c:v>
                </c:pt>
              </c:strCache>
            </c:strRef>
          </c:tx>
          <c:spPr>
            <a:solidFill>
              <a:schemeClr val="accent1">
                <a:lumMod val="60000"/>
                <a:lumOff val="40000"/>
              </a:schemeClr>
            </a:solidFill>
            <a:ln>
              <a:noFill/>
            </a:ln>
            <a:effectLst/>
          </c:spPr>
          <c:invertIfNegative val="0"/>
          <c:dLbls>
            <c:dLbl>
              <c:idx val="0"/>
              <c:tx>
                <c:rich>
                  <a:bodyPr/>
                  <a:lstStyle/>
                  <a:p>
                    <a:fld id="{21AA4028-425D-4DC1-B357-0AD9183F5D08}"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54EE-422A-8173-85E89CCAC774}"/>
                </c:ext>
              </c:extLst>
            </c:dLbl>
            <c:dLbl>
              <c:idx val="1"/>
              <c:tx>
                <c:rich>
                  <a:bodyPr/>
                  <a:lstStyle/>
                  <a:p>
                    <a:fld id="{12044046-9358-412B-867C-34299CC3A20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54EE-422A-8173-85E89CCAC774}"/>
                </c:ext>
              </c:extLst>
            </c:dLbl>
            <c:dLbl>
              <c:idx val="2"/>
              <c:tx>
                <c:rich>
                  <a:bodyPr/>
                  <a:lstStyle/>
                  <a:p>
                    <a:fld id="{2F50E2CC-3336-4D07-B297-F26671C1B03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54EE-422A-8173-85E89CCAC774}"/>
                </c:ext>
              </c:extLst>
            </c:dLbl>
            <c:dLbl>
              <c:idx val="3"/>
              <c:tx>
                <c:rich>
                  <a:bodyPr/>
                  <a:lstStyle/>
                  <a:p>
                    <a:fld id="{D8966A87-97F6-4271-A93F-82689A58D53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Progress'!$AA$33:$AA$36</c:f>
              <c:numCache>
                <c:formatCode>0%</c:formatCode>
                <c:ptCount val="4"/>
                <c:pt idx="0">
                  <c:v>0</c:v>
                </c:pt>
                <c:pt idx="1">
                  <c:v>0</c:v>
                </c:pt>
                <c:pt idx="2">
                  <c:v>0</c:v>
                </c:pt>
                <c:pt idx="3">
                  <c:v>0</c:v>
                </c:pt>
              </c:numCache>
            </c:numRef>
          </c:val>
          <c:extLst>
            <c:ext xmlns:c15="http://schemas.microsoft.com/office/drawing/2012/chart" uri="{02D57815-91ED-43cb-92C2-25804820EDAC}">
              <c15:datalabelsRange>
                <c15:f>'📊 Progress'!$I$33:$I$36</c15:f>
                <c15:dlblRangeCache>
                  <c:ptCount val="4"/>
                </c15:dlblRangeCache>
              </c15:datalabelsRange>
            </c:ext>
            <c:ext xmlns:c16="http://schemas.microsoft.com/office/drawing/2014/chart" uri="{C3380CC4-5D6E-409C-BE32-E72D297353CC}">
              <c16:uniqueId val="{0000004C-54EE-422A-8173-85E89CCAC774}"/>
            </c:ext>
          </c:extLst>
        </c:ser>
        <c:ser>
          <c:idx val="6"/>
          <c:order val="6"/>
          <c:tx>
            <c:strRef>
              <c:f>'📊 Progress'!$AC$32</c:f>
              <c:strCache>
                <c:ptCount val="1"/>
                <c:pt idx="0">
                  <c:v>Extra Practice (D)</c:v>
                </c:pt>
              </c:strCache>
            </c:strRef>
          </c:tx>
          <c:spPr>
            <a:solidFill>
              <a:schemeClr val="accent4">
                <a:lumMod val="60000"/>
                <a:lumOff val="40000"/>
              </a:schemeClr>
            </a:solidFill>
            <a:ln>
              <a:noFill/>
            </a:ln>
            <a:effectLst/>
          </c:spPr>
          <c:invertIfNegative val="0"/>
          <c:dLbls>
            <c:dLbl>
              <c:idx val="0"/>
              <c:tx>
                <c:rich>
                  <a:bodyPr/>
                  <a:lstStyle/>
                  <a:p>
                    <a:fld id="{5ABB6394-5853-4334-B083-63D79D790D08}"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54EE-422A-8173-85E89CCAC774}"/>
                </c:ext>
              </c:extLst>
            </c:dLbl>
            <c:dLbl>
              <c:idx val="1"/>
              <c:tx>
                <c:rich>
                  <a:bodyPr/>
                  <a:lstStyle/>
                  <a:p>
                    <a:fld id="{996E6CDB-2F7E-4E82-BC19-8E80214B984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54EE-422A-8173-85E89CCAC774}"/>
                </c:ext>
              </c:extLst>
            </c:dLbl>
            <c:dLbl>
              <c:idx val="2"/>
              <c:tx>
                <c:rich>
                  <a:bodyPr/>
                  <a:lstStyle/>
                  <a:p>
                    <a:fld id="{2AF71927-FF17-43BD-8818-A43283A1C67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54EE-422A-8173-85E89CCAC774}"/>
                </c:ext>
              </c:extLst>
            </c:dLbl>
            <c:dLbl>
              <c:idx val="3"/>
              <c:tx>
                <c:rich>
                  <a:bodyPr/>
                  <a:lstStyle/>
                  <a:p>
                    <a:fld id="{C5F0A16A-938D-438E-853A-379A17A6308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Progress'!$AC$33:$AC$36</c:f>
              <c:numCache>
                <c:formatCode>0%</c:formatCode>
                <c:ptCount val="4"/>
                <c:pt idx="0">
                  <c:v>0</c:v>
                </c:pt>
                <c:pt idx="1">
                  <c:v>0</c:v>
                </c:pt>
                <c:pt idx="2">
                  <c:v>0</c:v>
                </c:pt>
                <c:pt idx="3">
                  <c:v>0</c:v>
                </c:pt>
              </c:numCache>
            </c:numRef>
          </c:val>
          <c:extLst>
            <c:ext xmlns:c15="http://schemas.microsoft.com/office/drawing/2012/chart" uri="{02D57815-91ED-43cb-92C2-25804820EDAC}">
              <c15:datalabelsRange>
                <c15:f>'📊 Progress'!$R$33:$R$36</c15:f>
                <c15:dlblRangeCache>
                  <c:ptCount val="4"/>
                </c15:dlblRangeCache>
              </c15:datalabelsRange>
            </c:ext>
            <c:ext xmlns:c16="http://schemas.microsoft.com/office/drawing/2014/chart" uri="{C3380CC4-5D6E-409C-BE32-E72D297353CC}">
              <c16:uniqueId val="{00000057-54EE-422A-8173-85E89CCAC774}"/>
            </c:ext>
          </c:extLst>
        </c:ser>
        <c:dLbls>
          <c:showLegendKey val="0"/>
          <c:showVal val="0"/>
          <c:showCatName val="0"/>
          <c:showSerName val="0"/>
          <c:showPercent val="0"/>
          <c:showBubbleSize val="0"/>
        </c:dLbls>
        <c:gapWidth val="50"/>
        <c:axId val="953655888"/>
        <c:axId val="953655056"/>
      </c:barChart>
      <c:lineChart>
        <c:grouping val="standard"/>
        <c:varyColors val="0"/>
        <c:ser>
          <c:idx val="8"/>
          <c:order val="8"/>
          <c:tx>
            <c:strRef>
              <c:f>'📊 Progress'!$AE$32</c:f>
              <c:strCache>
                <c:ptCount val="1"/>
                <c:pt idx="0">
                  <c:v>Confidence</c:v>
                </c:pt>
              </c:strCache>
            </c:strRef>
          </c:tx>
          <c:spPr>
            <a:ln w="57150" cap="rnd">
              <a:solidFill>
                <a:schemeClr val="bg1"/>
              </a:solidFill>
              <a:round/>
            </a:ln>
            <a:effectLst/>
          </c:spPr>
          <c:marker>
            <c:symbol val="none"/>
          </c:marker>
          <c:cat>
            <c:strRef>
              <c:f>'📊 Progress'!$C$33:$C$36</c:f>
              <c:strCache>
                <c:ptCount val="4"/>
                <c:pt idx="0">
                  <c:v>Foundation of Risk Mgmt</c:v>
                </c:pt>
                <c:pt idx="1">
                  <c:v>Quantitative Analysis</c:v>
                </c:pt>
                <c:pt idx="2">
                  <c:v>Financial Mkts &amp; Products</c:v>
                </c:pt>
                <c:pt idx="3">
                  <c:v>Valuation &amp; Risk Models</c:v>
                </c:pt>
              </c:strCache>
            </c:strRef>
          </c:cat>
          <c:val>
            <c:numRef>
              <c:f>'📊 Progress'!$AE$33:$AE$36</c:f>
              <c:numCache>
                <c:formatCode>0%</c:formatCode>
                <c:ptCount val="4"/>
                <c:pt idx="0">
                  <c:v>0.51794871794871788</c:v>
                </c:pt>
                <c:pt idx="1">
                  <c:v>0.47179487179487173</c:v>
                </c:pt>
                <c:pt idx="2">
                  <c:v>0.51500000000000001</c:v>
                </c:pt>
                <c:pt idx="3">
                  <c:v>0.47499999999999998</c:v>
                </c:pt>
              </c:numCache>
            </c:numRef>
          </c:val>
          <c:smooth val="0"/>
          <c:extLst>
            <c:ext xmlns:c16="http://schemas.microsoft.com/office/drawing/2014/chart" uri="{C3380CC4-5D6E-409C-BE32-E72D297353CC}">
              <c16:uniqueId val="{00000058-54EE-422A-8173-85E89CCAC774}"/>
            </c:ext>
          </c:extLst>
        </c:ser>
        <c:dLbls>
          <c:showLegendKey val="0"/>
          <c:showVal val="0"/>
          <c:showCatName val="0"/>
          <c:showSerName val="0"/>
          <c:showPercent val="0"/>
          <c:showBubbleSize val="0"/>
        </c:dLbls>
        <c:marker val="1"/>
        <c:smooth val="0"/>
        <c:axId val="953655888"/>
        <c:axId val="953655056"/>
      </c:lineChart>
      <c:catAx>
        <c:axId val="2102294271"/>
        <c:scaling>
          <c:orientation val="minMax"/>
        </c:scaling>
        <c:delete val="1"/>
        <c:axPos val="b"/>
        <c:numFmt formatCode="General" sourceLinked="1"/>
        <c:majorTickMark val="out"/>
        <c:minorTickMark val="none"/>
        <c:tickLblPos val="nextTo"/>
        <c:crossAx val="2102297183"/>
        <c:crosses val="autoZero"/>
        <c:auto val="1"/>
        <c:lblAlgn val="ctr"/>
        <c:lblOffset val="100"/>
        <c:noMultiLvlLbl val="0"/>
      </c:catAx>
      <c:valAx>
        <c:axId val="2102297183"/>
        <c:scaling>
          <c:orientation val="minMax"/>
          <c:max val="1"/>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2102294271"/>
        <c:crosses val="autoZero"/>
        <c:crossBetween val="between"/>
        <c:majorUnit val="0.2"/>
      </c:valAx>
      <c:valAx>
        <c:axId val="953655056"/>
        <c:scaling>
          <c:orientation val="minMax"/>
        </c:scaling>
        <c:delete val="1"/>
        <c:axPos val="r"/>
        <c:numFmt formatCode="0%" sourceLinked="1"/>
        <c:majorTickMark val="out"/>
        <c:minorTickMark val="none"/>
        <c:tickLblPos val="nextTo"/>
        <c:crossAx val="953655888"/>
        <c:crosses val="max"/>
        <c:crossBetween val="between"/>
      </c:valAx>
      <c:catAx>
        <c:axId val="953655888"/>
        <c:scaling>
          <c:orientation val="minMax"/>
        </c:scaling>
        <c:delete val="0"/>
        <c:axPos val="t"/>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953655056"/>
        <c:crosses val="max"/>
        <c:auto val="0"/>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200" b="1">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[FRM Part 1 Performance Tracker '25.xlsx]Working!PivotTable4</c:name>
    <c:fmtId val="5"/>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Revision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hade val="76000"/>
            </a:schemeClr>
          </a:solidFill>
          <a:ln w="19050">
            <a:solidFill>
              <a:schemeClr val="lt1"/>
            </a:solidFill>
          </a:ln>
          <a:effectLst/>
        </c:spPr>
      </c:pivotFmt>
      <c:pivotFmt>
        <c:idx val="2"/>
        <c:spPr>
          <a:solidFill>
            <a:schemeClr val="accent1">
              <a:shade val="76000"/>
            </a:schemeClr>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1">
              <a:shade val="76000"/>
            </a:schemeClr>
          </a:solidFill>
          <a:ln w="19050">
            <a:solidFill>
              <a:schemeClr val="lt1"/>
            </a:solidFill>
          </a:ln>
          <a:effectLst/>
        </c:spPr>
      </c:pivotFmt>
      <c:pivotFmt>
        <c:idx val="5"/>
        <c:spPr>
          <a:solidFill>
            <a:schemeClr val="accent1">
              <a:lumMod val="60000"/>
              <a:lumOff val="40000"/>
            </a:schemeClr>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1">
              <a:lumMod val="20000"/>
              <a:lumOff val="80000"/>
            </a:schemeClr>
          </a:solidFill>
          <a:ln w="19050">
            <a:solidFill>
              <a:schemeClr val="accent1">
                <a:lumMod val="60000"/>
                <a:lumOff val="40000"/>
              </a:schemeClr>
            </a:solidFill>
          </a:ln>
          <a:effectLst/>
        </c:spPr>
      </c:pivotFmt>
      <c:pivotFmt>
        <c:idx val="7"/>
        <c:spPr>
          <a:solidFill>
            <a:schemeClr val="accent1">
              <a:lumMod val="60000"/>
              <a:lumOff val="40000"/>
            </a:schemeClr>
          </a:solidFill>
          <a:ln w="19050">
            <a:solidFill>
              <a:schemeClr val="accent1">
                <a:lumMod val="60000"/>
                <a:lumOff val="40000"/>
              </a:schemeClr>
            </a:solidFill>
          </a:ln>
          <a:effectLst/>
        </c:spPr>
      </c:pivotFmt>
      <c:pivotFmt>
        <c:idx val="8"/>
        <c:spPr>
          <a:solidFill>
            <a:schemeClr val="accent1"/>
          </a:solidFill>
          <a:ln w="19050">
            <a:solidFill>
              <a:schemeClr val="accent5">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5">
              <a:lumMod val="60000"/>
              <a:lumOff val="40000"/>
            </a:schemeClr>
          </a:solidFill>
          <a:ln w="19050">
            <a:solidFill>
              <a:schemeClr val="accent5">
                <a:lumMod val="60000"/>
                <a:lumOff val="40000"/>
              </a:schemeClr>
            </a:solidFill>
          </a:ln>
          <a:effectLst/>
        </c:spPr>
      </c:pivotFmt>
      <c:pivotFmt>
        <c:idx val="10"/>
        <c:spPr>
          <a:solidFill>
            <a:schemeClr val="accent5">
              <a:lumMod val="20000"/>
              <a:lumOff val="80000"/>
            </a:schemeClr>
          </a:solidFill>
          <a:ln w="19050">
            <a:solidFill>
              <a:schemeClr val="accent5">
                <a:lumMod val="60000"/>
                <a:lumOff val="40000"/>
              </a:schemeClr>
            </a:solidFill>
          </a:ln>
          <a:effectLst/>
        </c:spPr>
      </c:pivotFmt>
    </c:pivotFmts>
    <c:plotArea>
      <c:layout/>
      <c:doughnutChart>
        <c:varyColors val="1"/>
        <c:ser>
          <c:idx val="0"/>
          <c:order val="0"/>
          <c:tx>
            <c:strRef>
              <c:f>Working!$C$92</c:f>
              <c:strCache>
                <c:ptCount val="1"/>
                <c:pt idx="0">
                  <c:v>Total</c:v>
                </c:pt>
              </c:strCache>
            </c:strRef>
          </c:tx>
          <c:spPr>
            <a:ln>
              <a:solidFill>
                <a:schemeClr val="accent5">
                  <a:lumMod val="60000"/>
                  <a:lumOff val="40000"/>
                </a:schemeClr>
              </a:solidFill>
            </a:ln>
          </c:spPr>
          <c:dPt>
            <c:idx val="0"/>
            <c:bubble3D val="0"/>
            <c:spPr>
              <a:solidFill>
                <a:schemeClr val="accent5">
                  <a:lumMod val="20000"/>
                  <a:lumOff val="80000"/>
                </a:schemeClr>
              </a:solidFill>
              <a:ln w="19050">
                <a:solidFill>
                  <a:schemeClr val="accent5">
                    <a:lumMod val="60000"/>
                    <a:lumOff val="40000"/>
                  </a:schemeClr>
                </a:solidFill>
              </a:ln>
              <a:effectLst/>
            </c:spPr>
            <c:extLst>
              <c:ext xmlns:c16="http://schemas.microsoft.com/office/drawing/2014/chart" uri="{C3380CC4-5D6E-409C-BE32-E72D297353CC}">
                <c16:uniqueId val="{00000006-55B2-4737-992F-B3AEFCA1604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Working!$B$93:$B$94</c:f>
              <c:strCache>
                <c:ptCount val="1"/>
                <c:pt idx="0">
                  <c:v>U</c:v>
                </c:pt>
              </c:strCache>
            </c:strRef>
          </c:cat>
          <c:val>
            <c:numRef>
              <c:f>Working!$C$93:$C$94</c:f>
              <c:numCache>
                <c:formatCode>General</c:formatCode>
                <c:ptCount val="1"/>
                <c:pt idx="0">
                  <c:v>15</c:v>
                </c:pt>
              </c:numCache>
            </c:numRef>
          </c:val>
          <c:extLst>
            <c:ext xmlns:c16="http://schemas.microsoft.com/office/drawing/2014/chart" uri="{C3380CC4-5D6E-409C-BE32-E72D297353CC}">
              <c16:uniqueId val="{00000004-55B2-4737-992F-B3AEFCA16046}"/>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[FRM Part 1 Performance Tracker '25.xlsx]Working!PivotTable5</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Extra</a:t>
            </a:r>
            <a:r>
              <a:rPr lang="en-US" sz="1800" baseline="0">
                <a:solidFill>
                  <a:sysClr val="windowText" lastClr="000000"/>
                </a:solidFill>
                <a:latin typeface="Tw Cen MT" panose="020B0602020104020603" pitchFamily="34" charset="0"/>
              </a:rPr>
              <a:t> Practice</a:t>
            </a:r>
            <a:endParaRPr lang="en-US" sz="1800">
              <a:solidFill>
                <a:sysClr val="windowText" lastClr="000000"/>
              </a:solidFill>
              <a:latin typeface="Tw Cen MT" panose="020B0602020104020603"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6">
              <a:shade val="76000"/>
            </a:schemeClr>
          </a:solidFill>
          <a:ln w="19050">
            <a:solidFill>
              <a:schemeClr val="lt1"/>
            </a:solidFill>
          </a:ln>
          <a:effectLst/>
        </c:spPr>
      </c:pivotFmt>
      <c:pivotFmt>
        <c:idx val="2"/>
        <c:spPr>
          <a:solidFill>
            <a:schemeClr val="accent6">
              <a:tint val="77000"/>
            </a:schemeClr>
          </a:solidFill>
          <a:ln w="19050">
            <a:solidFill>
              <a:schemeClr val="lt1"/>
            </a:solidFill>
          </a:ln>
          <a:effectLst/>
        </c:spPr>
      </c:pivotFmt>
      <c:pivotFmt>
        <c:idx val="3"/>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6">
              <a:shade val="76000"/>
            </a:schemeClr>
          </a:solidFill>
          <a:ln w="19050">
            <a:solidFill>
              <a:schemeClr val="lt1"/>
            </a:solidFill>
          </a:ln>
          <a:effectLst/>
        </c:spPr>
      </c:pivotFmt>
      <c:pivotFmt>
        <c:idx val="5"/>
        <c:spPr>
          <a:solidFill>
            <a:schemeClr val="accent6"/>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4">
              <a:lumMod val="20000"/>
              <a:lumOff val="80000"/>
            </a:schemeClr>
          </a:solidFill>
          <a:ln w="19050">
            <a:solidFill>
              <a:schemeClr val="accent4">
                <a:lumMod val="60000"/>
                <a:lumOff val="40000"/>
              </a:schemeClr>
            </a:solidFill>
          </a:ln>
          <a:effectLst/>
        </c:spPr>
      </c:pivotFmt>
      <c:pivotFmt>
        <c:idx val="7"/>
        <c:spPr>
          <a:solidFill>
            <a:schemeClr val="accent4">
              <a:lumMod val="60000"/>
              <a:lumOff val="40000"/>
            </a:schemeClr>
          </a:solidFill>
          <a:ln w="19050">
            <a:solidFill>
              <a:schemeClr val="accent4">
                <a:lumMod val="60000"/>
                <a:lumOff val="40000"/>
              </a:schemeClr>
            </a:solidFill>
          </a:ln>
          <a:effectLst/>
        </c:spPr>
      </c:pivotFmt>
      <c:pivotFmt>
        <c:idx val="8"/>
        <c:spPr>
          <a:solidFill>
            <a:schemeClr val="accent6"/>
          </a:solidFill>
          <a:ln w="19050">
            <a:noFill/>
          </a:ln>
          <a:effectLst/>
        </c:spPr>
      </c:pivotFmt>
      <c:pivotFmt>
        <c:idx val="9"/>
        <c:spPr>
          <a:solidFill>
            <a:schemeClr val="accent6"/>
          </a:solidFill>
          <a:ln w="19050">
            <a:solidFill>
              <a:schemeClr val="accent4">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0"/>
        <c:spPr>
          <a:solidFill>
            <a:schemeClr val="accent4">
              <a:lumMod val="60000"/>
              <a:lumOff val="40000"/>
            </a:schemeClr>
          </a:solidFill>
          <a:ln w="19050">
            <a:solidFill>
              <a:schemeClr val="accent4">
                <a:lumMod val="60000"/>
                <a:lumOff val="40000"/>
              </a:schemeClr>
            </a:solidFill>
          </a:ln>
          <a:effectLst/>
        </c:spPr>
      </c:pivotFmt>
      <c:pivotFmt>
        <c:idx val="11"/>
        <c:spPr>
          <a:solidFill>
            <a:schemeClr val="accent4">
              <a:lumMod val="20000"/>
              <a:lumOff val="80000"/>
            </a:schemeClr>
          </a:solidFill>
          <a:ln w="19050">
            <a:solidFill>
              <a:schemeClr val="accent4">
                <a:lumMod val="60000"/>
                <a:lumOff val="40000"/>
              </a:schemeClr>
            </a:solidFill>
          </a:ln>
          <a:effectLst/>
        </c:spPr>
      </c:pivotFmt>
    </c:pivotFmts>
    <c:plotArea>
      <c:layout/>
      <c:doughnutChart>
        <c:varyColors val="1"/>
        <c:ser>
          <c:idx val="0"/>
          <c:order val="0"/>
          <c:tx>
            <c:strRef>
              <c:f>Working!$C$97</c:f>
              <c:strCache>
                <c:ptCount val="1"/>
                <c:pt idx="0">
                  <c:v>Total</c:v>
                </c:pt>
              </c:strCache>
            </c:strRef>
          </c:tx>
          <c:spPr>
            <a:ln>
              <a:solidFill>
                <a:schemeClr val="accent4">
                  <a:lumMod val="60000"/>
                  <a:lumOff val="40000"/>
                </a:schemeClr>
              </a:solidFill>
            </a:ln>
          </c:spPr>
          <c:dPt>
            <c:idx val="0"/>
            <c:bubble3D val="0"/>
            <c:spPr>
              <a:solidFill>
                <a:schemeClr val="accent4">
                  <a:lumMod val="20000"/>
                  <a:lumOff val="80000"/>
                </a:schemeClr>
              </a:solidFill>
              <a:ln w="19050">
                <a:solidFill>
                  <a:schemeClr val="accent4">
                    <a:lumMod val="60000"/>
                    <a:lumOff val="40000"/>
                  </a:schemeClr>
                </a:solidFill>
              </a:ln>
              <a:effectLst/>
            </c:spPr>
            <c:extLst>
              <c:ext xmlns:c16="http://schemas.microsoft.com/office/drawing/2014/chart" uri="{C3380CC4-5D6E-409C-BE32-E72D297353CC}">
                <c16:uniqueId val="{00000006-FD5F-4AB9-92B0-C6BD8A7A189E}"/>
              </c:ext>
            </c:extLst>
          </c:dPt>
          <c:dPt>
            <c:idx val="1"/>
            <c:bubble3D val="0"/>
            <c:spPr>
              <a:solidFill>
                <a:schemeClr val="accent6">
                  <a:tint val="30000"/>
                </a:schemeClr>
              </a:solidFill>
              <a:ln w="19050">
                <a:solidFill>
                  <a:schemeClr val="accent4">
                    <a:lumMod val="60000"/>
                    <a:lumOff val="40000"/>
                  </a:schemeClr>
                </a:solidFill>
              </a:ln>
              <a:effectLst/>
            </c:spPr>
            <c:extLst>
              <c:ext xmlns:c16="http://schemas.microsoft.com/office/drawing/2014/chart" uri="{C3380CC4-5D6E-409C-BE32-E72D297353CC}">
                <c16:uniqueId val="{00000007-FD5F-4AB9-92B0-C6BD8A7A189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Working!$B$98:$B$99</c:f>
              <c:strCache>
                <c:ptCount val="1"/>
                <c:pt idx="0">
                  <c:v>U</c:v>
                </c:pt>
              </c:strCache>
            </c:strRef>
          </c:cat>
          <c:val>
            <c:numRef>
              <c:f>Working!$C$98:$C$99</c:f>
              <c:numCache>
                <c:formatCode>General</c:formatCode>
                <c:ptCount val="1"/>
                <c:pt idx="0">
                  <c:v>15</c:v>
                </c:pt>
              </c:numCache>
            </c:numRef>
          </c:val>
          <c:extLst>
            <c:ext xmlns:c16="http://schemas.microsoft.com/office/drawing/2014/chart" uri="{C3380CC4-5D6E-409C-BE32-E72D297353CC}">
              <c16:uniqueId val="{00000004-FD5F-4AB9-92B0-C6BD8A7A189E}"/>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3D1-47E5-AE2C-07890A6A65C4}"/>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3D1-47E5-AE2C-07890A6A65C4}"/>
              </c:ext>
            </c:extLst>
          </c:dPt>
          <c:dPt>
            <c:idx val="2"/>
            <c:bubble3D val="0"/>
            <c:spPr>
              <a:solidFill>
                <a:srgbClr val="FFA3A3"/>
              </a:solidFill>
              <a:ln w="19050">
                <a:noFill/>
              </a:ln>
              <a:effectLst/>
            </c:spPr>
            <c:extLst>
              <c:ext xmlns:c16="http://schemas.microsoft.com/office/drawing/2014/chart" uri="{C3380CC4-5D6E-409C-BE32-E72D297353CC}">
                <c16:uniqueId val="{00000005-D3D1-47E5-AE2C-07890A6A65C4}"/>
              </c:ext>
            </c:extLst>
          </c:dPt>
          <c:dPt>
            <c:idx val="3"/>
            <c:bubble3D val="0"/>
            <c:spPr>
              <a:solidFill>
                <a:srgbClr val="FF7979"/>
              </a:solidFill>
              <a:ln w="19050">
                <a:noFill/>
              </a:ln>
              <a:effectLst/>
            </c:spPr>
            <c:extLst>
              <c:ext xmlns:c16="http://schemas.microsoft.com/office/drawing/2014/chart" uri="{C3380CC4-5D6E-409C-BE32-E72D297353CC}">
                <c16:uniqueId val="{00000007-D3D1-47E5-AE2C-07890A6A65C4}"/>
              </c:ext>
            </c:extLst>
          </c:dPt>
          <c:dLbls>
            <c:dLbl>
              <c:idx val="0"/>
              <c:tx>
                <c:rich>
                  <a:bodyPr/>
                  <a:lstStyle/>
                  <a:p>
                    <a:fld id="{FFEC4DC7-8487-45A0-BFCD-6031C90FC7D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3D1-47E5-AE2C-07890A6A65C4}"/>
                </c:ext>
              </c:extLst>
            </c:dLbl>
            <c:dLbl>
              <c:idx val="1"/>
              <c:tx>
                <c:rich>
                  <a:bodyPr/>
                  <a:lstStyle/>
                  <a:p>
                    <a:fld id="{A0712074-3404-4680-9BFF-F111FECA6F0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3D1-47E5-AE2C-07890A6A65C4}"/>
                </c:ext>
              </c:extLst>
            </c:dLbl>
            <c:dLbl>
              <c:idx val="2"/>
              <c:tx>
                <c:rich>
                  <a:bodyPr/>
                  <a:lstStyle/>
                  <a:p>
                    <a:fld id="{79BD5FEB-20C3-44D0-A490-791F79C1049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059589611003399"/>
                      <c:h val="0.19403429589282872"/>
                    </c:manualLayout>
                  </c15:layout>
                  <c15:dlblFieldTable/>
                  <c15:showDataLabelsRange val="1"/>
                </c:ext>
                <c:ext xmlns:c16="http://schemas.microsoft.com/office/drawing/2014/chart" uri="{C3380CC4-5D6E-409C-BE32-E72D297353CC}">
                  <c16:uniqueId val="{00000005-D3D1-47E5-AE2C-07890A6A65C4}"/>
                </c:ext>
              </c:extLst>
            </c:dLbl>
            <c:dLbl>
              <c:idx val="3"/>
              <c:tx>
                <c:rich>
                  <a:bodyPr/>
                  <a:lstStyle/>
                  <a:p>
                    <a:fld id="{F0E38F94-6148-4CF0-B1E3-AA5545F16BE2}"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3D1-47E5-AE2C-07890A6A65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0.71055004508566277</c:v>
                </c:pt>
                <c:pt idx="3">
                  <c:v>0.28944995491433717</c:v>
                </c:pt>
              </c:numCache>
            </c:numRef>
          </c:val>
          <c:extLst>
            <c:ext xmlns:c15="http://schemas.microsoft.com/office/drawing/2012/chart" uri="{02D57815-91ED-43cb-92C2-25804820EDAC}">
              <c15:datalabelsRange>
                <c15:f>Working!$E$54:$E$57</c15:f>
                <c15:dlblRangeCache>
                  <c:ptCount val="4"/>
                  <c:pt idx="2">
                    <c:v>Extra Undone, 153</c:v>
                  </c:pt>
                  <c:pt idx="3">
                    <c:v>Undone, 62</c:v>
                  </c:pt>
                </c15:dlblRangeCache>
              </c15:datalabelsRange>
            </c:ext>
            <c:ext xmlns:c16="http://schemas.microsoft.com/office/drawing/2014/chart" uri="{C3380CC4-5D6E-409C-BE32-E72D297353CC}">
              <c16:uniqueId val="{00000008-D3D1-47E5-AE2C-07890A6A65C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2E1-4A6A-B7D4-7A47C2198339}"/>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2E1-4A6A-B7D4-7A47C2198339}"/>
              </c:ext>
            </c:extLst>
          </c:dPt>
          <c:dPt>
            <c:idx val="2"/>
            <c:bubble3D val="0"/>
            <c:spPr>
              <a:solidFill>
                <a:srgbClr val="FFA3A3"/>
              </a:solidFill>
              <a:ln w="19050">
                <a:noFill/>
              </a:ln>
              <a:effectLst/>
            </c:spPr>
            <c:extLst>
              <c:ext xmlns:c16="http://schemas.microsoft.com/office/drawing/2014/chart" uri="{C3380CC4-5D6E-409C-BE32-E72D297353CC}">
                <c16:uniqueId val="{00000005-D2E1-4A6A-B7D4-7A47C2198339}"/>
              </c:ext>
            </c:extLst>
          </c:dPt>
          <c:dPt>
            <c:idx val="3"/>
            <c:bubble3D val="0"/>
            <c:spPr>
              <a:solidFill>
                <a:srgbClr val="FF7979"/>
              </a:solidFill>
              <a:ln w="19050">
                <a:noFill/>
              </a:ln>
              <a:effectLst/>
            </c:spPr>
            <c:extLst>
              <c:ext xmlns:c16="http://schemas.microsoft.com/office/drawing/2014/chart" uri="{C3380CC4-5D6E-409C-BE32-E72D297353CC}">
                <c16:uniqueId val="{00000007-D2E1-4A6A-B7D4-7A47C2198339}"/>
              </c:ext>
            </c:extLst>
          </c:dPt>
          <c:dLbls>
            <c:dLbl>
              <c:idx val="0"/>
              <c:tx>
                <c:rich>
                  <a:bodyPr/>
                  <a:lstStyle/>
                  <a:p>
                    <a:fld id="{E7961C04-345E-40E7-A371-CA7CA1D13FD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2E1-4A6A-B7D4-7A47C2198339}"/>
                </c:ext>
              </c:extLst>
            </c:dLbl>
            <c:dLbl>
              <c:idx val="1"/>
              <c:tx>
                <c:rich>
                  <a:bodyPr/>
                  <a:lstStyle/>
                  <a:p>
                    <a:fld id="{77D6D4D9-1C44-4FAF-BCCF-B452A2DDAA1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2E1-4A6A-B7D4-7A47C2198339}"/>
                </c:ext>
              </c:extLst>
            </c:dLbl>
            <c:dLbl>
              <c:idx val="2"/>
              <c:tx>
                <c:rich>
                  <a:bodyPr/>
                  <a:lstStyle/>
                  <a:p>
                    <a:fld id="{6590A396-AA6C-44CA-A510-FC1A0B30596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6927367060298"/>
                      <c:h val="0.19403429589282872"/>
                    </c:manualLayout>
                  </c15:layout>
                  <c15:dlblFieldTable/>
                  <c15:showDataLabelsRange val="1"/>
                </c:ext>
                <c:ext xmlns:c16="http://schemas.microsoft.com/office/drawing/2014/chart" uri="{C3380CC4-5D6E-409C-BE32-E72D297353CC}">
                  <c16:uniqueId val="{00000005-D2E1-4A6A-B7D4-7A47C2198339}"/>
                </c:ext>
              </c:extLst>
            </c:dLbl>
            <c:dLbl>
              <c:idx val="3"/>
              <c:tx>
                <c:rich>
                  <a:bodyPr/>
                  <a:lstStyle/>
                  <a:p>
                    <a:fld id="{E3EADA88-D8BD-4870-9A89-0DB0C51C9688}"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2E1-4A6A-B7D4-7A47C219833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0.71055004508566266</c:v>
                </c:pt>
                <c:pt idx="3">
                  <c:v>0.28944995491433734</c:v>
                </c:pt>
              </c:numCache>
            </c:numRef>
          </c:val>
          <c:extLst>
            <c:ext xmlns:c15="http://schemas.microsoft.com/office/drawing/2012/chart" uri="{02D57815-91ED-43cb-92C2-25804820EDAC}">
              <c15:datalabelsRange>
                <c15:f>Working!$E$61:$E$64</c15:f>
                <c15:dlblRangeCache>
                  <c:ptCount val="4"/>
                  <c:pt idx="2">
                    <c:v>Extra Undone, 223</c:v>
                  </c:pt>
                  <c:pt idx="3">
                    <c:v>Undone, 91</c:v>
                  </c:pt>
                </c15:dlblRangeCache>
              </c15:datalabelsRange>
            </c:ext>
            <c:ext xmlns:c16="http://schemas.microsoft.com/office/drawing/2014/chart" uri="{C3380CC4-5D6E-409C-BE32-E72D297353CC}">
              <c16:uniqueId val="{00000008-D2E1-4A6A-B7D4-7A47C219833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8D5A-46E4-8088-DF90E9BEF7F8}"/>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8D5A-46E4-8088-DF90E9BEF7F8}"/>
              </c:ext>
            </c:extLst>
          </c:dPt>
          <c:dPt>
            <c:idx val="2"/>
            <c:bubble3D val="0"/>
            <c:spPr>
              <a:solidFill>
                <a:srgbClr val="FFA3A3"/>
              </a:solidFill>
              <a:ln w="19050">
                <a:noFill/>
              </a:ln>
              <a:effectLst/>
            </c:spPr>
            <c:extLst>
              <c:ext xmlns:c16="http://schemas.microsoft.com/office/drawing/2014/chart" uri="{C3380CC4-5D6E-409C-BE32-E72D297353CC}">
                <c16:uniqueId val="{00000005-8D5A-46E4-8088-DF90E9BEF7F8}"/>
              </c:ext>
            </c:extLst>
          </c:dPt>
          <c:dPt>
            <c:idx val="3"/>
            <c:bubble3D val="0"/>
            <c:spPr>
              <a:solidFill>
                <a:srgbClr val="FF7979"/>
              </a:solidFill>
              <a:ln w="19050">
                <a:noFill/>
              </a:ln>
              <a:effectLst/>
            </c:spPr>
            <c:extLst>
              <c:ext xmlns:c16="http://schemas.microsoft.com/office/drawing/2014/chart" uri="{C3380CC4-5D6E-409C-BE32-E72D297353CC}">
                <c16:uniqueId val="{00000007-8D5A-46E4-8088-DF90E9BEF7F8}"/>
              </c:ext>
            </c:extLst>
          </c:dPt>
          <c:dLbls>
            <c:dLbl>
              <c:idx val="0"/>
              <c:tx>
                <c:rich>
                  <a:bodyPr/>
                  <a:lstStyle/>
                  <a:p>
                    <a:fld id="{D5178BE8-CA13-4281-B22E-F22A7F6FE57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8D5A-46E4-8088-DF90E9BEF7F8}"/>
                </c:ext>
              </c:extLst>
            </c:dLbl>
            <c:dLbl>
              <c:idx val="1"/>
              <c:tx>
                <c:rich>
                  <a:bodyPr/>
                  <a:lstStyle/>
                  <a:p>
                    <a:fld id="{0A6E75D6-4CBE-4C28-AFF8-1A9D724127F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8D5A-46E4-8088-DF90E9BEF7F8}"/>
                </c:ext>
              </c:extLst>
            </c:dLbl>
            <c:dLbl>
              <c:idx val="2"/>
              <c:layout>
                <c:manualLayout>
                  <c:x val="-3.7988844640581713E-2"/>
                  <c:y val="-0.13590060229060288"/>
                </c:manualLayout>
              </c:layout>
              <c:tx>
                <c:rich>
                  <a:bodyPr/>
                  <a:lstStyle/>
                  <a:p>
                    <a:fld id="{31A96EAE-2C83-4363-A657-9ED028B0EDAF}"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59590438377308"/>
                      <c:h val="0.19791498181068526"/>
                    </c:manualLayout>
                  </c15:layout>
                  <c15:dlblFieldTable/>
                  <c15:showDataLabelsRange val="1"/>
                </c:ext>
                <c:ext xmlns:c16="http://schemas.microsoft.com/office/drawing/2014/chart" uri="{C3380CC4-5D6E-409C-BE32-E72D297353CC}">
                  <c16:uniqueId val="{00000005-8D5A-46E4-8088-DF90E9BEF7F8}"/>
                </c:ext>
              </c:extLst>
            </c:dLbl>
            <c:dLbl>
              <c:idx val="3"/>
              <c:tx>
                <c:rich>
                  <a:bodyPr/>
                  <a:lstStyle/>
                  <a:p>
                    <a:fld id="{C746C10D-0B38-41B7-94C2-1944CADBA317}"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2793306784348996"/>
                      <c:h val="0.15134675079640639"/>
                    </c:manualLayout>
                  </c15:layout>
                  <c15:dlblFieldTable/>
                  <c15:showDataLabelsRange val="1"/>
                </c:ext>
                <c:ext xmlns:c16="http://schemas.microsoft.com/office/drawing/2014/chart" uri="{C3380CC4-5D6E-409C-BE32-E72D297353CC}">
                  <c16:uniqueId val="{00000007-8D5A-46E4-8088-DF90E9BEF7F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0.71055004508566266</c:v>
                </c:pt>
                <c:pt idx="3">
                  <c:v>0.28944995491433734</c:v>
                </c:pt>
              </c:numCache>
            </c:numRef>
          </c:val>
          <c:extLst>
            <c:ext xmlns:c15="http://schemas.microsoft.com/office/drawing/2012/chart" uri="{02D57815-91ED-43cb-92C2-25804820EDAC}">
              <c15:datalabelsRange>
                <c15:f>Working!$E$68:$E$71</c15:f>
                <c15:dlblRangeCache>
                  <c:ptCount val="4"/>
                  <c:pt idx="2">
                    <c:v>Extra Undone, 377</c:v>
                  </c:pt>
                  <c:pt idx="3">
                    <c:v>Undone, 153</c:v>
                  </c:pt>
                </c15:dlblRangeCache>
              </c15:datalabelsRange>
            </c:ext>
            <c:ext xmlns:c16="http://schemas.microsoft.com/office/drawing/2014/chart" uri="{C3380CC4-5D6E-409C-BE32-E72D297353CC}">
              <c16:uniqueId val="{00000008-8D5A-46E4-8088-DF90E9BEF7F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4AB10A1D-40B0-4F2F-8E99-549717E77B95}"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52D62BE1-52AB-4EAD-9007-F6782764B81C}" type="CELLRANGE">
                      <a:rPr lang="en-IN"/>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E5C305E5-20B5-4107-8EF9-DDCE1513A228}" type="CELLRANGE">
                      <a:rPr lang="en-IN"/>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656-4F67-B7A1-F8A1F7DE107E}"/>
                </c:ext>
              </c:extLst>
            </c:dLbl>
            <c:dLbl>
              <c:idx val="3"/>
              <c:tx>
                <c:rich>
                  <a:bodyPr/>
                  <a:lstStyle/>
                  <a:p>
                    <a:fld id="{01B498C7-900C-45D7-810A-E6F2935F11B9}" type="CELLRANGE">
                      <a:rPr lang="en-IN"/>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0.71055004508566266</c:v>
                </c:pt>
                <c:pt idx="3">
                  <c:v>0.28944995491433734</c:v>
                </c:pt>
              </c:numCache>
            </c:numRef>
          </c:val>
          <c:extLst>
            <c:ext xmlns:c15="http://schemas.microsoft.com/office/drawing/2012/chart" uri="{02D57815-91ED-43cb-92C2-25804820EDAC}">
              <c15:datalabelsRange>
                <c15:f>Working!$E$47:$E$50</c15:f>
                <c15:dlblRangeCache>
                  <c:ptCount val="4"/>
                  <c:pt idx="2">
                    <c:v>Extra Undone, 45</c:v>
                  </c:pt>
                  <c:pt idx="3">
                    <c:v>Undone, 18</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59AC113A-430A-4957-A2AE-0DAE01737E45}"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50DA8E29-85D0-46D3-9009-786568C61A7A}"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246D6187-E5BC-4B4F-9014-F793980B4D28}"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656-4F67-B7A1-F8A1F7DE107E}"/>
                </c:ext>
              </c:extLst>
            </c:dLbl>
            <c:dLbl>
              <c:idx val="3"/>
              <c:tx>
                <c:rich>
                  <a:bodyPr/>
                  <a:lstStyle/>
                  <a:p>
                    <a:fld id="{6DE8B92E-D1F3-4320-93F1-3152D4A78AB0}"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0.71055004508566277</c:v>
                </c:pt>
                <c:pt idx="3">
                  <c:v>0.28944995491433717</c:v>
                </c:pt>
              </c:numCache>
            </c:numRef>
          </c:val>
          <c:extLst>
            <c:ext xmlns:c15="http://schemas.microsoft.com/office/drawing/2012/chart" uri="{02D57815-91ED-43cb-92C2-25804820EDAC}">
              <c15:datalabelsRange>
                <c15:f>Working!$E$54:$E$57</c15:f>
                <c15:dlblRangeCache>
                  <c:ptCount val="4"/>
                  <c:pt idx="2">
                    <c:v>Extra Undone, 153</c:v>
                  </c:pt>
                  <c:pt idx="3">
                    <c:v>Undone, 62</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C51632DE-F255-4AC1-84DF-B399695E4F54}"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D776F197-53EE-47DE-8BF2-CC5A3C77236D}"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2C51A453-184C-4249-B2BF-074D49C46AA8}"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656-4F67-B7A1-F8A1F7DE107E}"/>
                </c:ext>
              </c:extLst>
            </c:dLbl>
            <c:dLbl>
              <c:idx val="3"/>
              <c:tx>
                <c:rich>
                  <a:bodyPr/>
                  <a:lstStyle/>
                  <a:p>
                    <a:fld id="{99D39862-6247-4A53-ABC5-51E9D6C61A53}"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0.71055004508566266</c:v>
                </c:pt>
                <c:pt idx="3">
                  <c:v>0.28944995491433734</c:v>
                </c:pt>
              </c:numCache>
            </c:numRef>
          </c:val>
          <c:extLst>
            <c:ext xmlns:c15="http://schemas.microsoft.com/office/drawing/2012/chart" uri="{02D57815-91ED-43cb-92C2-25804820EDAC}">
              <c15:datalabelsRange>
                <c15:f>Working!$E$61:$E$64</c15:f>
                <c15:dlblRangeCache>
                  <c:ptCount val="4"/>
                  <c:pt idx="2">
                    <c:v>Extra Undone, 223</c:v>
                  </c:pt>
                  <c:pt idx="3">
                    <c:v>Undone, 91</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52B17A0C-0D26-4996-B192-FDFE1590A2D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E66BA509-6676-4347-9A76-8CF5D02EE782}"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F3D7C302-0FB6-4427-952A-2AE426234973}"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656-4F67-B7A1-F8A1F7DE107E}"/>
                </c:ext>
              </c:extLst>
            </c:dLbl>
            <c:dLbl>
              <c:idx val="3"/>
              <c:tx>
                <c:rich>
                  <a:bodyPr/>
                  <a:lstStyle/>
                  <a:p>
                    <a:fld id="{225FFD53-EBFF-46F7-A4CE-DC614D240F52}"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0.71055004508566266</c:v>
                </c:pt>
                <c:pt idx="3">
                  <c:v>0.28944995491433734</c:v>
                </c:pt>
              </c:numCache>
            </c:numRef>
          </c:val>
          <c:extLst>
            <c:ext xmlns:c15="http://schemas.microsoft.com/office/drawing/2012/chart" uri="{02D57815-91ED-43cb-92C2-25804820EDAC}">
              <c15:datalabelsRange>
                <c15:f>Working!$E$68:$E$71</c15:f>
                <c15:dlblRangeCache>
                  <c:ptCount val="4"/>
                  <c:pt idx="2">
                    <c:v>Extra Undone, 377</c:v>
                  </c:pt>
                  <c:pt idx="3">
                    <c:v>Undone, 153</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677286501828598E-2"/>
          <c:y val="3.1866468434387722E-2"/>
          <c:w val="0.94140204133847638"/>
          <c:h val="0.90166860491785139"/>
        </c:manualLayout>
      </c:layout>
      <c:lineChart>
        <c:grouping val="standard"/>
        <c:varyColors val="0"/>
        <c:ser>
          <c:idx val="1"/>
          <c:order val="0"/>
          <c:tx>
            <c:v>average</c:v>
          </c:tx>
          <c:spPr>
            <a:ln w="25400" cap="rnd">
              <a:solidFill>
                <a:srgbClr val="FF4747"/>
              </a:solidFill>
              <a:round/>
            </a:ln>
            <a:effectLst/>
          </c:spPr>
          <c:marker>
            <c:symbol val="none"/>
          </c:marker>
          <c:dLbls>
            <c:delete val="1"/>
          </c:dLbls>
          <c:val>
            <c:numRef>
              <c:f>'📊 Progress'!$B$33:$B$36</c:f>
              <c:numCache>
                <c:formatCode>0.0;\-0.0;;@</c:formatCode>
                <c:ptCount val="4"/>
                <c:pt idx="0">
                  <c:v>2.5</c:v>
                </c:pt>
                <c:pt idx="1">
                  <c:v>2.5</c:v>
                </c:pt>
                <c:pt idx="2">
                  <c:v>2.5</c:v>
                </c:pt>
                <c:pt idx="3">
                  <c:v>2.5</c:v>
                </c:pt>
              </c:numCache>
            </c:numRef>
          </c:val>
          <c:smooth val="0"/>
          <c:extLst>
            <c:ext xmlns:c16="http://schemas.microsoft.com/office/drawing/2014/chart" uri="{C3380CC4-5D6E-409C-BE32-E72D297353CC}">
              <c16:uniqueId val="{0000000B-2077-4FB0-9F37-13FB91287652}"/>
            </c:ext>
          </c:extLst>
        </c:ser>
        <c:ser>
          <c:idx val="0"/>
          <c:order val="1"/>
          <c:spPr>
            <a:ln w="25400"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dLbl>
              <c:idx val="0"/>
              <c:tx>
                <c:rich>
                  <a:bodyPr/>
                  <a:lstStyle/>
                  <a:p>
                    <a:fld id="{23E356FA-5973-4607-9535-3767156133EE}"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2077-4FB0-9F37-13FB91287652}"/>
                </c:ext>
              </c:extLst>
            </c:dLbl>
            <c:dLbl>
              <c:idx val="1"/>
              <c:layout>
                <c:manualLayout>
                  <c:x val="3.1129570723994358E-3"/>
                  <c:y val="-5.6553979515063739E-2"/>
                </c:manualLayout>
              </c:layout>
              <c:tx>
                <c:rich>
                  <a:bodyPr/>
                  <a:lstStyle/>
                  <a:p>
                    <a:fld id="{D20C7315-810A-4E78-A4AF-592BEC203B10}"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077-4FB0-9F37-13FB91287652}"/>
                </c:ext>
              </c:extLst>
            </c:dLbl>
            <c:dLbl>
              <c:idx val="2"/>
              <c:layout>
                <c:manualLayout>
                  <c:x val="1.5809351132704708E-3"/>
                  <c:y val="-5.2607354904036455E-3"/>
                </c:manualLayout>
              </c:layout>
              <c:tx>
                <c:rich>
                  <a:bodyPr/>
                  <a:lstStyle/>
                  <a:p>
                    <a:fld id="{4232B050-DA02-4646-87BA-8F144A722B6E}"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077-4FB0-9F37-13FB91287652}"/>
                </c:ext>
              </c:extLst>
            </c:dLbl>
            <c:dLbl>
              <c:idx val="3"/>
              <c:layout>
                <c:manualLayout>
                  <c:x val="-2.4946372591635856E-2"/>
                  <c:y val="5.3191881069636855E-2"/>
                </c:manualLayout>
              </c:layout>
              <c:tx>
                <c:rich>
                  <a:bodyPr/>
                  <a:lstStyle/>
                  <a:p>
                    <a:fld id="{DCEDE379-9C55-418E-A3FD-2EDF90598F89}"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077-4FB0-9F37-13FB91287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Progress'!$C$33:$C$36</c:f>
              <c:strCache>
                <c:ptCount val="4"/>
                <c:pt idx="0">
                  <c:v>Foundation of Risk Mgmt</c:v>
                </c:pt>
                <c:pt idx="1">
                  <c:v>Quantitative Analysis</c:v>
                </c:pt>
                <c:pt idx="2">
                  <c:v>Financial Mkts &amp; Products</c:v>
                </c:pt>
                <c:pt idx="3">
                  <c:v>Valuation &amp; Risk Models</c:v>
                </c:pt>
              </c:strCache>
            </c:strRef>
          </c:cat>
          <c:val>
            <c:numRef>
              <c:f>'📊 Progress'!$K$33:$K$36</c:f>
              <c:numCache>
                <c:formatCode>0.0;\-0.0;;@</c:formatCode>
                <c:ptCount val="4"/>
                <c:pt idx="0">
                  <c:v>2.5897435897435894</c:v>
                </c:pt>
                <c:pt idx="1">
                  <c:v>2.3589743589743586</c:v>
                </c:pt>
                <c:pt idx="2">
                  <c:v>2.5750000000000002</c:v>
                </c:pt>
                <c:pt idx="3">
                  <c:v>2.375</c:v>
                </c:pt>
              </c:numCache>
            </c:numRef>
          </c:val>
          <c:smooth val="0"/>
          <c:extLst>
            <c:ext xmlns:c15="http://schemas.microsoft.com/office/drawing/2012/chart" uri="{02D57815-91ED-43cb-92C2-25804820EDAC}">
              <c15:datalabelsRange>
                <c15:f>'📊 Progress'!$C$33:$C$36</c15:f>
                <c15:dlblRangeCache>
                  <c:ptCount val="4"/>
                  <c:pt idx="0">
                    <c:v>Foundation of Risk Mgmt</c:v>
                  </c:pt>
                  <c:pt idx="1">
                    <c:v>Quantitative Analysis</c:v>
                  </c:pt>
                  <c:pt idx="2">
                    <c:v>Financial Mkts &amp; Products</c:v>
                  </c:pt>
                  <c:pt idx="3">
                    <c:v>Valuation &amp; Risk Models</c:v>
                  </c:pt>
                </c15:dlblRangeCache>
              </c15:datalabelsRange>
            </c:ext>
            <c:ext xmlns:c16="http://schemas.microsoft.com/office/drawing/2014/chart" uri="{C3380CC4-5D6E-409C-BE32-E72D297353CC}">
              <c16:uniqueId val="{0000000A-2077-4FB0-9F37-13FB91287652}"/>
            </c:ext>
          </c:extLst>
        </c:ser>
        <c:dLbls>
          <c:dLblPos val="t"/>
          <c:showLegendKey val="0"/>
          <c:showVal val="1"/>
          <c:showCatName val="0"/>
          <c:showSerName val="0"/>
          <c:showPercent val="0"/>
          <c:showBubbleSize val="0"/>
        </c:dLbls>
        <c:smooth val="0"/>
        <c:axId val="1985352560"/>
        <c:axId val="1985349648"/>
      </c:lineChart>
      <c:catAx>
        <c:axId val="1985352560"/>
        <c:scaling>
          <c:orientation val="minMax"/>
        </c:scaling>
        <c:delete val="1"/>
        <c:axPos val="b"/>
        <c:numFmt formatCode="General" sourceLinked="1"/>
        <c:majorTickMark val="none"/>
        <c:minorTickMark val="none"/>
        <c:tickLblPos val="nextTo"/>
        <c:crossAx val="1985349648"/>
        <c:crosses val="autoZero"/>
        <c:auto val="1"/>
        <c:lblAlgn val="ctr"/>
        <c:lblOffset val="100"/>
        <c:noMultiLvlLbl val="0"/>
      </c:catAx>
      <c:valAx>
        <c:axId val="1985349648"/>
        <c:scaling>
          <c:orientation val="minMax"/>
        </c:scaling>
        <c:delete val="1"/>
        <c:axPos val="l"/>
        <c:numFmt formatCode="0.0;\-0.0;;@" sourceLinked="1"/>
        <c:majorTickMark val="none"/>
        <c:minorTickMark val="none"/>
        <c:tickLblPos val="nextTo"/>
        <c:crossAx val="1985352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0-1490-4697-AB25-B5AE6FDF60C1}"/>
            </c:ext>
          </c:extLst>
        </c:ser>
        <c:ser>
          <c:idx val="1"/>
          <c:order val="1"/>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1-1490-4697-AB25-B5AE6FDF60C1}"/>
            </c:ext>
          </c:extLst>
        </c:ser>
        <c:ser>
          <c:idx val="2"/>
          <c:order val="2"/>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2-1490-4697-AB25-B5AE6FDF60C1}"/>
            </c:ext>
          </c:extLst>
        </c:ser>
        <c:ser>
          <c:idx val="3"/>
          <c:order val="3"/>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3-1490-4697-AB25-B5AE6FDF60C1}"/>
            </c:ext>
          </c:extLst>
        </c:ser>
        <c:ser>
          <c:idx val="4"/>
          <c:order val="4"/>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4-1490-4697-AB25-B5AE6FDF60C1}"/>
            </c:ext>
          </c:extLst>
        </c:ser>
        <c:ser>
          <c:idx val="5"/>
          <c:order val="5"/>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5-1490-4697-AB25-B5AE6FDF60C1}"/>
            </c:ext>
          </c:extLst>
        </c:ser>
        <c:ser>
          <c:idx val="6"/>
          <c:order val="6"/>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6-1490-4697-AB25-B5AE6FDF60C1}"/>
            </c:ext>
          </c:extLst>
        </c:ser>
        <c:ser>
          <c:idx val="7"/>
          <c:order val="7"/>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7-1490-4697-AB25-B5AE6FDF60C1}"/>
            </c:ext>
          </c:extLst>
        </c:ser>
        <c:ser>
          <c:idx val="8"/>
          <c:order val="8"/>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8-1490-4697-AB25-B5AE6FDF60C1}"/>
            </c:ext>
          </c:extLst>
        </c:ser>
        <c:ser>
          <c:idx val="9"/>
          <c:order val="9"/>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9-1490-4697-AB25-B5AE6FDF60C1}"/>
            </c:ext>
          </c:extLst>
        </c:ser>
        <c:ser>
          <c:idx val="10"/>
          <c:order val="10"/>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A-1490-4697-AB25-B5AE6FDF60C1}"/>
            </c:ext>
          </c:extLst>
        </c:ser>
        <c:ser>
          <c:idx val="11"/>
          <c:order val="11"/>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B-1490-4697-AB25-B5AE6FDF60C1}"/>
            </c:ext>
          </c:extLst>
        </c:ser>
        <c:ser>
          <c:idx val="12"/>
          <c:order val="12"/>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C-1490-4697-AB25-B5AE6FDF60C1}"/>
            </c:ext>
          </c:extLst>
        </c:ser>
        <c:ser>
          <c:idx val="13"/>
          <c:order val="13"/>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D-1490-4697-AB25-B5AE6FDF60C1}"/>
            </c:ext>
          </c:extLst>
        </c:ser>
        <c:ser>
          <c:idx val="14"/>
          <c:order val="14"/>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E-1490-4697-AB25-B5AE6FDF60C1}"/>
            </c:ext>
          </c:extLst>
        </c:ser>
        <c:ser>
          <c:idx val="15"/>
          <c:order val="15"/>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F-1490-4697-AB25-B5AE6FDF60C1}"/>
            </c:ext>
          </c:extLst>
        </c:ser>
        <c:ser>
          <c:idx val="16"/>
          <c:order val="16"/>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0-1490-4697-AB25-B5AE6FDF60C1}"/>
            </c:ext>
          </c:extLst>
        </c:ser>
        <c:ser>
          <c:idx val="17"/>
          <c:order val="17"/>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1-1490-4697-AB25-B5AE6FDF60C1}"/>
            </c:ext>
          </c:extLst>
        </c:ser>
        <c:ser>
          <c:idx val="18"/>
          <c:order val="18"/>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2-1490-4697-AB25-B5AE6FDF60C1}"/>
            </c:ext>
          </c:extLst>
        </c:ser>
        <c:ser>
          <c:idx val="19"/>
          <c:order val="19"/>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3-1490-4697-AB25-B5AE6FDF60C1}"/>
            </c:ext>
          </c:extLst>
        </c:ser>
        <c:ser>
          <c:idx val="20"/>
          <c:order val="20"/>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4-1490-4697-AB25-B5AE6FDF60C1}"/>
            </c:ext>
          </c:extLst>
        </c:ser>
        <c:ser>
          <c:idx val="21"/>
          <c:order val="21"/>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5-1490-4697-AB25-B5AE6FDF60C1}"/>
            </c:ext>
          </c:extLst>
        </c:ser>
        <c:ser>
          <c:idx val="22"/>
          <c:order val="22"/>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6-1490-4697-AB25-B5AE6FDF60C1}"/>
            </c:ext>
          </c:extLst>
        </c:ser>
        <c:ser>
          <c:idx val="23"/>
          <c:order val="23"/>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7-1490-4697-AB25-B5AE6FDF60C1}"/>
            </c:ext>
          </c:extLst>
        </c:ser>
        <c:ser>
          <c:idx val="24"/>
          <c:order val="24"/>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8-1490-4697-AB25-B5AE6FDF60C1}"/>
            </c:ext>
          </c:extLst>
        </c:ser>
        <c:ser>
          <c:idx val="25"/>
          <c:order val="25"/>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9-1490-4697-AB25-B5AE6FDF60C1}"/>
            </c:ext>
          </c:extLst>
        </c:ser>
        <c:ser>
          <c:idx val="26"/>
          <c:order val="26"/>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A-1490-4697-AB25-B5AE6FDF60C1}"/>
            </c:ext>
          </c:extLst>
        </c:ser>
        <c:ser>
          <c:idx val="27"/>
          <c:order val="27"/>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B-1490-4697-AB25-B5AE6FDF60C1}"/>
            </c:ext>
          </c:extLst>
        </c:ser>
        <c:ser>
          <c:idx val="28"/>
          <c:order val="28"/>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C-1490-4697-AB25-B5AE6FDF60C1}"/>
            </c:ext>
          </c:extLst>
        </c:ser>
        <c:ser>
          <c:idx val="29"/>
          <c:order val="29"/>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D-1490-4697-AB25-B5AE6FDF60C1}"/>
            </c:ext>
          </c:extLst>
        </c:ser>
        <c:ser>
          <c:idx val="30"/>
          <c:order val="30"/>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E-1490-4697-AB25-B5AE6FDF60C1}"/>
            </c:ext>
          </c:extLst>
        </c:ser>
        <c:ser>
          <c:idx val="31"/>
          <c:order val="31"/>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F-1490-4697-AB25-B5AE6FDF60C1}"/>
            </c:ext>
          </c:extLst>
        </c:ser>
        <c:ser>
          <c:idx val="32"/>
          <c:order val="32"/>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0-1490-4697-AB25-B5AE6FDF60C1}"/>
            </c:ext>
          </c:extLst>
        </c:ser>
        <c:ser>
          <c:idx val="33"/>
          <c:order val="33"/>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1-1490-4697-AB25-B5AE6FDF60C1}"/>
            </c:ext>
          </c:extLst>
        </c:ser>
        <c:ser>
          <c:idx val="34"/>
          <c:order val="34"/>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2-1490-4697-AB25-B5AE6FDF60C1}"/>
            </c:ext>
          </c:extLst>
        </c:ser>
        <c:ser>
          <c:idx val="35"/>
          <c:order val="35"/>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3-1490-4697-AB25-B5AE6FDF60C1}"/>
            </c:ext>
          </c:extLst>
        </c:ser>
        <c:ser>
          <c:idx val="36"/>
          <c:order val="36"/>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4-1490-4697-AB25-B5AE6FDF60C1}"/>
            </c:ext>
          </c:extLst>
        </c:ser>
        <c:ser>
          <c:idx val="37"/>
          <c:order val="37"/>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5-1490-4697-AB25-B5AE6FDF60C1}"/>
            </c:ext>
          </c:extLst>
        </c:ser>
        <c:ser>
          <c:idx val="38"/>
          <c:order val="38"/>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6-1490-4697-AB25-B5AE6FDF60C1}"/>
            </c:ext>
          </c:extLst>
        </c:ser>
        <c:ser>
          <c:idx val="39"/>
          <c:order val="39"/>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7-1490-4697-AB25-B5AE6FDF60C1}"/>
            </c:ext>
          </c:extLst>
        </c:ser>
        <c:ser>
          <c:idx val="40"/>
          <c:order val="40"/>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8-1490-4697-AB25-B5AE6FDF60C1}"/>
            </c:ext>
          </c:extLst>
        </c:ser>
        <c:ser>
          <c:idx val="41"/>
          <c:order val="41"/>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9-1490-4697-AB25-B5AE6FDF60C1}"/>
            </c:ext>
          </c:extLst>
        </c:ser>
        <c:ser>
          <c:idx val="42"/>
          <c:order val="42"/>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A-1490-4697-AB25-B5AE6FDF60C1}"/>
            </c:ext>
          </c:extLst>
        </c:ser>
        <c:ser>
          <c:idx val="43"/>
          <c:order val="43"/>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B-1490-4697-AB25-B5AE6FDF60C1}"/>
            </c:ext>
          </c:extLst>
        </c:ser>
        <c:ser>
          <c:idx val="44"/>
          <c:order val="44"/>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C-1490-4697-AB25-B5AE6FDF60C1}"/>
            </c:ext>
          </c:extLst>
        </c:ser>
        <c:ser>
          <c:idx val="45"/>
          <c:order val="45"/>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D-1490-4697-AB25-B5AE6FDF60C1}"/>
            </c:ext>
          </c:extLst>
        </c:ser>
        <c:ser>
          <c:idx val="46"/>
          <c:order val="46"/>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E-1490-4697-AB25-B5AE6FDF60C1}"/>
            </c:ext>
          </c:extLst>
        </c:ser>
        <c:ser>
          <c:idx val="47"/>
          <c:order val="47"/>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F-1490-4697-AB25-B5AE6FDF60C1}"/>
            </c:ext>
          </c:extLst>
        </c:ser>
        <c:ser>
          <c:idx val="48"/>
          <c:order val="48"/>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0-1490-4697-AB25-B5AE6FDF60C1}"/>
            </c:ext>
          </c:extLst>
        </c:ser>
        <c:ser>
          <c:idx val="49"/>
          <c:order val="49"/>
          <c:spPr>
            <a:ln w="28575" cap="rnd">
              <a:solidFill>
                <a:schemeClr val="accent2">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1-1490-4697-AB25-B5AE6FDF60C1}"/>
            </c:ext>
          </c:extLst>
        </c:ser>
        <c:ser>
          <c:idx val="50"/>
          <c:order val="50"/>
          <c:spPr>
            <a:ln w="28575" cap="rnd">
              <a:solidFill>
                <a:schemeClr val="accent3">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2-1490-4697-AB25-B5AE6FDF60C1}"/>
            </c:ext>
          </c:extLst>
        </c:ser>
        <c:ser>
          <c:idx val="51"/>
          <c:order val="51"/>
          <c:spPr>
            <a:ln w="28575" cap="rnd">
              <a:solidFill>
                <a:schemeClr val="accent4">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3-1490-4697-AB25-B5AE6FDF60C1}"/>
            </c:ext>
          </c:extLst>
        </c:ser>
        <c:ser>
          <c:idx val="52"/>
          <c:order val="52"/>
          <c:spPr>
            <a:ln w="28575" cap="rnd">
              <a:solidFill>
                <a:schemeClr val="accent5">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4-1490-4697-AB25-B5AE6FDF60C1}"/>
            </c:ext>
          </c:extLst>
        </c:ser>
        <c:ser>
          <c:idx val="53"/>
          <c:order val="53"/>
          <c:spPr>
            <a:ln w="28575" cap="rnd">
              <a:solidFill>
                <a:schemeClr val="accent6">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5-1490-4697-AB25-B5AE6FDF60C1}"/>
            </c:ext>
          </c:extLst>
        </c:ser>
        <c:ser>
          <c:idx val="54"/>
          <c:order val="54"/>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6-1490-4697-AB25-B5AE6FDF60C1}"/>
            </c:ext>
          </c:extLst>
        </c:ser>
        <c:ser>
          <c:idx val="55"/>
          <c:order val="55"/>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7-1490-4697-AB25-B5AE6FDF60C1}"/>
            </c:ext>
          </c:extLst>
        </c:ser>
        <c:ser>
          <c:idx val="56"/>
          <c:order val="56"/>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8-1490-4697-AB25-B5AE6FDF60C1}"/>
            </c:ext>
          </c:extLst>
        </c:ser>
        <c:ser>
          <c:idx val="57"/>
          <c:order val="57"/>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9-1490-4697-AB25-B5AE6FDF60C1}"/>
            </c:ext>
          </c:extLst>
        </c:ser>
        <c:ser>
          <c:idx val="58"/>
          <c:order val="58"/>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A-1490-4697-AB25-B5AE6FDF60C1}"/>
            </c:ext>
          </c:extLst>
        </c:ser>
        <c:ser>
          <c:idx val="59"/>
          <c:order val="59"/>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B-1490-4697-AB25-B5AE6FDF60C1}"/>
            </c:ext>
          </c:extLst>
        </c:ser>
        <c:ser>
          <c:idx val="60"/>
          <c:order val="60"/>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C-1490-4697-AB25-B5AE6FDF60C1}"/>
            </c:ext>
          </c:extLst>
        </c:ser>
        <c:ser>
          <c:idx val="61"/>
          <c:order val="61"/>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D-1490-4697-AB25-B5AE6FDF60C1}"/>
            </c:ext>
          </c:extLst>
        </c:ser>
        <c:ser>
          <c:idx val="62"/>
          <c:order val="62"/>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E-1490-4697-AB25-B5AE6FDF60C1}"/>
            </c:ext>
          </c:extLst>
        </c:ser>
        <c:ser>
          <c:idx val="63"/>
          <c:order val="63"/>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F-1490-4697-AB25-B5AE6FDF60C1}"/>
            </c:ext>
          </c:extLst>
        </c:ser>
        <c:ser>
          <c:idx val="64"/>
          <c:order val="64"/>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0-1490-4697-AB25-B5AE6FDF60C1}"/>
            </c:ext>
          </c:extLst>
        </c:ser>
        <c:ser>
          <c:idx val="65"/>
          <c:order val="65"/>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1-1490-4697-AB25-B5AE6FDF60C1}"/>
            </c:ext>
          </c:extLst>
        </c:ser>
        <c:ser>
          <c:idx val="66"/>
          <c:order val="66"/>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2-1490-4697-AB25-B5AE6FDF60C1}"/>
            </c:ext>
          </c:extLst>
        </c:ser>
        <c:ser>
          <c:idx val="67"/>
          <c:order val="67"/>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3-1490-4697-AB25-B5AE6FDF60C1}"/>
            </c:ext>
          </c:extLst>
        </c:ser>
        <c:ser>
          <c:idx val="68"/>
          <c:order val="68"/>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4-1490-4697-AB25-B5AE6FDF60C1}"/>
            </c:ext>
          </c:extLst>
        </c:ser>
        <c:ser>
          <c:idx val="69"/>
          <c:order val="69"/>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5-1490-4697-AB25-B5AE6FDF60C1}"/>
            </c:ext>
          </c:extLst>
        </c:ser>
        <c:ser>
          <c:idx val="70"/>
          <c:order val="70"/>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6-1490-4697-AB25-B5AE6FDF60C1}"/>
            </c:ext>
          </c:extLst>
        </c:ser>
        <c:ser>
          <c:idx val="71"/>
          <c:order val="71"/>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7-1490-4697-AB25-B5AE6FDF60C1}"/>
            </c:ext>
          </c:extLst>
        </c:ser>
        <c:ser>
          <c:idx val="72"/>
          <c:order val="72"/>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8-1490-4697-AB25-B5AE6FDF60C1}"/>
            </c:ext>
          </c:extLst>
        </c:ser>
        <c:ser>
          <c:idx val="73"/>
          <c:order val="73"/>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9-1490-4697-AB25-B5AE6FDF60C1}"/>
            </c:ext>
          </c:extLst>
        </c:ser>
        <c:ser>
          <c:idx val="74"/>
          <c:order val="74"/>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A-1490-4697-AB25-B5AE6FDF60C1}"/>
            </c:ext>
          </c:extLst>
        </c:ser>
        <c:ser>
          <c:idx val="75"/>
          <c:order val="75"/>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B-1490-4697-AB25-B5AE6FDF60C1}"/>
            </c:ext>
          </c:extLst>
        </c:ser>
        <c:ser>
          <c:idx val="76"/>
          <c:order val="76"/>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C-1490-4697-AB25-B5AE6FDF60C1}"/>
            </c:ext>
          </c:extLst>
        </c:ser>
        <c:ser>
          <c:idx val="77"/>
          <c:order val="77"/>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D-1490-4697-AB25-B5AE6FDF60C1}"/>
            </c:ext>
          </c:extLst>
        </c:ser>
        <c:ser>
          <c:idx val="78"/>
          <c:order val="78"/>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E-1490-4697-AB25-B5AE6FDF60C1}"/>
            </c:ext>
          </c:extLst>
        </c:ser>
        <c:ser>
          <c:idx val="79"/>
          <c:order val="79"/>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F-1490-4697-AB25-B5AE6FDF60C1}"/>
            </c:ext>
          </c:extLst>
        </c:ser>
        <c:ser>
          <c:idx val="80"/>
          <c:order val="80"/>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0-1490-4697-AB25-B5AE6FDF60C1}"/>
            </c:ext>
          </c:extLst>
        </c:ser>
        <c:ser>
          <c:idx val="81"/>
          <c:order val="81"/>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1-1490-4697-AB25-B5AE6FDF60C1}"/>
            </c:ext>
          </c:extLst>
        </c:ser>
        <c:ser>
          <c:idx val="82"/>
          <c:order val="82"/>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2-1490-4697-AB25-B5AE6FDF60C1}"/>
            </c:ext>
          </c:extLst>
        </c:ser>
        <c:ser>
          <c:idx val="83"/>
          <c:order val="83"/>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3-1490-4697-AB25-B5AE6FDF60C1}"/>
            </c:ext>
          </c:extLst>
        </c:ser>
        <c:ser>
          <c:idx val="84"/>
          <c:order val="84"/>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4-1490-4697-AB25-B5AE6FDF60C1}"/>
            </c:ext>
          </c:extLst>
        </c:ser>
        <c:ser>
          <c:idx val="85"/>
          <c:order val="85"/>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5-1490-4697-AB25-B5AE6FDF60C1}"/>
            </c:ext>
          </c:extLst>
        </c:ser>
        <c:ser>
          <c:idx val="86"/>
          <c:order val="86"/>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6-1490-4697-AB25-B5AE6FDF60C1}"/>
            </c:ext>
          </c:extLst>
        </c:ser>
        <c:ser>
          <c:idx val="87"/>
          <c:order val="87"/>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7-1490-4697-AB25-B5AE6FDF60C1}"/>
            </c:ext>
          </c:extLst>
        </c:ser>
        <c:ser>
          <c:idx val="88"/>
          <c:order val="88"/>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8-1490-4697-AB25-B5AE6FDF60C1}"/>
            </c:ext>
          </c:extLst>
        </c:ser>
        <c:ser>
          <c:idx val="89"/>
          <c:order val="89"/>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9-1490-4697-AB25-B5AE6FDF60C1}"/>
            </c:ext>
          </c:extLst>
        </c:ser>
        <c:ser>
          <c:idx val="90"/>
          <c:order val="90"/>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A-1490-4697-AB25-B5AE6FDF60C1}"/>
            </c:ext>
          </c:extLst>
        </c:ser>
        <c:ser>
          <c:idx val="91"/>
          <c:order val="91"/>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B-1490-4697-AB25-B5AE6FDF60C1}"/>
            </c:ext>
          </c:extLst>
        </c:ser>
        <c:ser>
          <c:idx val="92"/>
          <c:order val="92"/>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C-1490-4697-AB25-B5AE6FDF60C1}"/>
            </c:ext>
          </c:extLst>
        </c:ser>
        <c:ser>
          <c:idx val="93"/>
          <c:order val="93"/>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D-1490-4697-AB25-B5AE6FDF60C1}"/>
            </c:ext>
          </c:extLst>
        </c:ser>
        <c:ser>
          <c:idx val="94"/>
          <c:order val="94"/>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E-1490-4697-AB25-B5AE6FDF60C1}"/>
            </c:ext>
          </c:extLst>
        </c:ser>
        <c:ser>
          <c:idx val="95"/>
          <c:order val="95"/>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F-1490-4697-AB25-B5AE6FDF60C1}"/>
            </c:ext>
          </c:extLst>
        </c:ser>
        <c:ser>
          <c:idx val="96"/>
          <c:order val="96"/>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0-1490-4697-AB25-B5AE6FDF60C1}"/>
            </c:ext>
          </c:extLst>
        </c:ser>
        <c:ser>
          <c:idx val="97"/>
          <c:order val="97"/>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1-1490-4697-AB25-B5AE6FDF60C1}"/>
            </c:ext>
          </c:extLst>
        </c:ser>
        <c:ser>
          <c:idx val="98"/>
          <c:order val="98"/>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2-1490-4697-AB25-B5AE6FDF60C1}"/>
            </c:ext>
          </c:extLst>
        </c:ser>
        <c:ser>
          <c:idx val="99"/>
          <c:order val="99"/>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3-1490-4697-AB25-B5AE6FDF60C1}"/>
            </c:ext>
          </c:extLst>
        </c:ser>
        <c:ser>
          <c:idx val="100"/>
          <c:order val="100"/>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4-1490-4697-AB25-B5AE6FDF60C1}"/>
            </c:ext>
          </c:extLst>
        </c:ser>
        <c:ser>
          <c:idx val="101"/>
          <c:order val="101"/>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5-1490-4697-AB25-B5AE6FDF60C1}"/>
            </c:ext>
          </c:extLst>
        </c:ser>
        <c:ser>
          <c:idx val="102"/>
          <c:order val="102"/>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6-1490-4697-AB25-B5AE6FDF60C1}"/>
            </c:ext>
          </c:extLst>
        </c:ser>
        <c:dLbls>
          <c:showLegendKey val="0"/>
          <c:showVal val="0"/>
          <c:showCatName val="0"/>
          <c:showSerName val="0"/>
          <c:showPercent val="0"/>
          <c:showBubbleSize val="0"/>
        </c:dLbls>
        <c:smooth val="0"/>
        <c:axId val="867241008"/>
        <c:axId val="867253488"/>
      </c:lineChart>
      <c:catAx>
        <c:axId val="8672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53488"/>
        <c:crosses val="autoZero"/>
        <c:auto val="1"/>
        <c:lblAlgn val="ctr"/>
        <c:lblOffset val="100"/>
        <c:noMultiLvlLbl val="0"/>
      </c:catAx>
      <c:valAx>
        <c:axId val="867253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261960674292927E-3"/>
          <c:y val="6.643494556830995E-2"/>
          <c:w val="0.98892560087745873"/>
          <c:h val="0.64489074758648646"/>
        </c:manualLayout>
      </c:layout>
      <c:barChart>
        <c:barDir val="bar"/>
        <c:grouping val="stacked"/>
        <c:varyColors val="0"/>
        <c:ser>
          <c:idx val="0"/>
          <c:order val="0"/>
          <c:spPr>
            <a:solidFill>
              <a:schemeClr val="accent1">
                <a:lumMod val="50000"/>
              </a:schemeClr>
            </a:solidFill>
            <a:ln>
              <a:noFill/>
            </a:ln>
            <a:effectLst/>
          </c:spPr>
          <c:invertIfNegative val="0"/>
          <c:dLbls>
            <c:dLbl>
              <c:idx val="0"/>
              <c:layout>
                <c:manualLayout>
                  <c:x val="-1.4410610989758202E-2"/>
                  <c:y val="0.11020982970277803"/>
                </c:manualLayout>
              </c:layout>
              <c:tx>
                <c:rich>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fld id="{66B3B850-C21A-48E8-BE52-5DEA60D276BA}" type="CELLRANGE">
                      <a:rPr lang="en-US"/>
                      <a:pPr algn="ctr" rtl="0">
                        <a:defRPr>
                          <a:solidFill>
                            <a:schemeClr val="tx2">
                              <a:lumMod val="75000"/>
                            </a:schemeClr>
                          </a:solidFill>
                        </a:defRPr>
                      </a:pPr>
                      <a:t>[CELLRANGE]</a:t>
                    </a:fld>
                    <a:endParaRPr lang="en-IN"/>
                  </a:p>
                </c:rich>
              </c:tx>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48958"/>
                        <a:gd name="adj2" fmla="val 7326"/>
                      </a:avLst>
                    </a:prstGeom>
                    <a:noFill/>
                    <a:ln>
                      <a:noFill/>
                    </a:ln>
                  </c15:spPr>
                  <c15:dlblFieldTable/>
                  <c15:showDataLabelsRange val="1"/>
                </c:ext>
                <c:ext xmlns:c16="http://schemas.microsoft.com/office/drawing/2014/chart" uri="{C3380CC4-5D6E-409C-BE32-E72D297353CC}">
                  <c16:uniqueId val="{00000000-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Working!$H$4</c:f>
              <c:numCache>
                <c:formatCode>0%</c:formatCode>
                <c:ptCount val="1"/>
                <c:pt idx="0">
                  <c:v>0.69339207048458151</c:v>
                </c:pt>
              </c:numCache>
            </c:numRef>
          </c:val>
          <c:extLst>
            <c:ext xmlns:c15="http://schemas.microsoft.com/office/drawing/2012/chart" uri="{02D57815-91ED-43cb-92C2-25804820EDAC}">
              <c15:datalabelsRange>
                <c15:f>Working!$J$4</c15:f>
                <c15:dlblRangeCache>
                  <c:ptCount val="1"/>
                  <c:pt idx="0">
                    <c:v>788 days over</c:v>
                  </c:pt>
                </c15:dlblRangeCache>
              </c15:datalabelsRange>
            </c:ext>
            <c:ext xmlns:c16="http://schemas.microsoft.com/office/drawing/2014/chart" uri="{C3380CC4-5D6E-409C-BE32-E72D297353CC}">
              <c16:uniqueId val="{00000001-43BF-457B-B4E5-054BABB55D7C}"/>
            </c:ext>
          </c:extLst>
        </c:ser>
        <c:ser>
          <c:idx val="1"/>
          <c:order val="1"/>
          <c:spPr>
            <a:solidFill>
              <a:schemeClr val="bg1">
                <a:lumMod val="75000"/>
              </a:schemeClr>
            </a:solidFill>
            <a:ln>
              <a:noFill/>
            </a:ln>
            <a:effectLst/>
          </c:spPr>
          <c:invertIfNegative val="0"/>
          <c:dLbls>
            <c:dLbl>
              <c:idx val="0"/>
              <c:layout>
                <c:manualLayout>
                  <c:x val="4.1548314796056585E-3"/>
                  <c:y val="-0.17307905875927362"/>
                </c:manualLayout>
              </c:layout>
              <c:tx>
                <c:rich>
                  <a:bodyPr/>
                  <a:lstStyle/>
                  <a:p>
                    <a:fld id="{1DE4FD65-DDF9-42E0-AC26-E34A6155F8D4}"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bg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Working!$H$5</c:f>
              <c:numCache>
                <c:formatCode>0%</c:formatCode>
                <c:ptCount val="1"/>
                <c:pt idx="0">
                  <c:v>0.28281938325991185</c:v>
                </c:pt>
              </c:numCache>
            </c:numRef>
          </c:val>
          <c:extLst>
            <c:ext xmlns:c15="http://schemas.microsoft.com/office/drawing/2012/chart" uri="{02D57815-91ED-43cb-92C2-25804820EDAC}">
              <c15:datalabelsRange>
                <c15:f>Working!$J$5</c15:f>
                <c15:dlblRangeCache>
                  <c:ptCount val="1"/>
                  <c:pt idx="0">
                    <c:v>321 study days left</c:v>
                  </c:pt>
                </c15:dlblRangeCache>
              </c15:datalabelsRange>
            </c:ext>
            <c:ext xmlns:c16="http://schemas.microsoft.com/office/drawing/2014/chart" uri="{C3380CC4-5D6E-409C-BE32-E72D297353CC}">
              <c16:uniqueId val="{00000003-43BF-457B-B4E5-054BABB55D7C}"/>
            </c:ext>
          </c:extLst>
        </c:ser>
        <c:ser>
          <c:idx val="2"/>
          <c:order val="2"/>
          <c:spPr>
            <a:solidFill>
              <a:schemeClr val="accent4">
                <a:lumMod val="60000"/>
                <a:lumOff val="40000"/>
              </a:schemeClr>
            </a:solidFill>
            <a:ln>
              <a:noFill/>
            </a:ln>
            <a:effectLst/>
          </c:spPr>
          <c:invertIfNegative val="0"/>
          <c:dLbls>
            <c:dLbl>
              <c:idx val="0"/>
              <c:layout>
                <c:manualLayout>
                  <c:x val="0"/>
                  <c:y val="-9.2645760320422377E-2"/>
                </c:manualLayout>
              </c:layout>
              <c:tx>
                <c:rich>
                  <a:bodyPr/>
                  <a:lstStyle/>
                  <a:p>
                    <a:fld id="{DC8CB809-BFB4-46BD-A45C-2F800EBDC4FE}" type="CELLRANGE">
                      <a:rPr lang="en-US">
                        <a:solidFill>
                          <a:schemeClr val="accent4">
                            <a:lumMod val="75000"/>
                          </a:schemeClr>
                        </a:solidFill>
                      </a:rPr>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Working!$H$6</c:f>
              <c:numCache>
                <c:formatCode>0%</c:formatCode>
                <c:ptCount val="1"/>
                <c:pt idx="0">
                  <c:v>4.405286343612369E-3</c:v>
                </c:pt>
              </c:numCache>
            </c:numRef>
          </c:val>
          <c:extLst>
            <c:ext xmlns:c15="http://schemas.microsoft.com/office/drawing/2012/chart" uri="{02D57815-91ED-43cb-92C2-25804820EDAC}">
              <c15:datalabelsRange>
                <c15:f>Working!$J$6</c15:f>
                <c15:dlblRangeCache>
                  <c:ptCount val="1"/>
                  <c:pt idx="0">
                    <c:v>5  buffer days</c:v>
                  </c:pt>
                </c15:dlblRangeCache>
              </c15:datalabelsRange>
            </c:ext>
            <c:ext xmlns:c16="http://schemas.microsoft.com/office/drawing/2014/chart" uri="{C3380CC4-5D6E-409C-BE32-E72D297353CC}">
              <c16:uniqueId val="{00000005-43BF-457B-B4E5-054BABB55D7C}"/>
            </c:ext>
          </c:extLst>
        </c:ser>
        <c:ser>
          <c:idx val="3"/>
          <c:order val="3"/>
          <c:spPr>
            <a:solidFill>
              <a:schemeClr val="accent2">
                <a:lumMod val="60000"/>
                <a:lumOff val="40000"/>
              </a:schemeClr>
            </a:solidFill>
            <a:ln>
              <a:noFill/>
            </a:ln>
            <a:effectLst/>
          </c:spPr>
          <c:invertIfNegative val="0"/>
          <c:dPt>
            <c:idx val="0"/>
            <c:invertIfNegative val="0"/>
            <c:bubble3D val="0"/>
            <c:extLst>
              <c:ext xmlns:c16="http://schemas.microsoft.com/office/drawing/2014/chart" uri="{C3380CC4-5D6E-409C-BE32-E72D297353CC}">
                <c16:uniqueId val="{00000006-43BF-457B-B4E5-054BABB55D7C}"/>
              </c:ext>
            </c:extLst>
          </c:dPt>
          <c:dLbls>
            <c:dLbl>
              <c:idx val="0"/>
              <c:layout>
                <c:manualLayout>
                  <c:x val="0"/>
                  <c:y val="-0.21860966420472877"/>
                </c:manualLayout>
              </c:layout>
              <c:tx>
                <c:rich>
                  <a:bodyPr/>
                  <a:lstStyle/>
                  <a:p>
                    <a:fld id="{8BF88B5A-8A13-49A3-AE1E-D5F695EB0222}"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accent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Working!$H$7</c:f>
              <c:numCache>
                <c:formatCode>0%</c:formatCode>
                <c:ptCount val="1"/>
                <c:pt idx="0">
                  <c:v>1.8502202643171817E-2</c:v>
                </c:pt>
              </c:numCache>
            </c:numRef>
          </c:val>
          <c:extLst>
            <c:ext xmlns:c15="http://schemas.microsoft.com/office/drawing/2012/chart" uri="{02D57815-91ED-43cb-92C2-25804820EDAC}">
              <c15:datalabelsRange>
                <c15:f>Working!$J$7</c15:f>
                <c15:dlblRangeCache>
                  <c:ptCount val="1"/>
                  <c:pt idx="0">
                    <c:v>21 revision days</c:v>
                  </c:pt>
                </c15:dlblRangeCache>
              </c15:datalabelsRange>
            </c:ext>
            <c:ext xmlns:c16="http://schemas.microsoft.com/office/drawing/2014/chart" uri="{C3380CC4-5D6E-409C-BE32-E72D297353CC}">
              <c16:uniqueId val="{00000007-43BF-457B-B4E5-054BABB55D7C}"/>
            </c:ext>
          </c:extLst>
        </c:ser>
        <c:dLbls>
          <c:showLegendKey val="0"/>
          <c:showVal val="0"/>
          <c:showCatName val="0"/>
          <c:showSerName val="0"/>
          <c:showPercent val="0"/>
          <c:showBubbleSize val="0"/>
        </c:dLbls>
        <c:gapWidth val="500"/>
        <c:overlap val="100"/>
        <c:axId val="1347660319"/>
        <c:axId val="1347663647"/>
      </c:barChart>
      <c:barChart>
        <c:barDir val="bar"/>
        <c:grouping val="clustered"/>
        <c:varyColors val="0"/>
        <c:ser>
          <c:idx val="4"/>
          <c:order val="4"/>
          <c:tx>
            <c:v>begin</c:v>
          </c:tx>
          <c:spPr>
            <a:noFill/>
            <a:ln>
              <a:noFill/>
            </a:ln>
            <a:effectLst/>
          </c:spPr>
          <c:invertIfNegative val="0"/>
          <c:dLbls>
            <c:dLbl>
              <c:idx val="0"/>
              <c:layout>
                <c:manualLayout>
                  <c:x val="-2.4409970392388815E-2"/>
                  <c:y val="0.145356794736634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fld id="{12A641B2-BB97-4BCF-87BB-A9928205C9CD}" type="CELLRANGE">
                      <a:rPr lang="en-US"/>
                      <a:pPr>
                        <a:defRPr/>
                      </a:pPr>
                      <a:t>[CELLRANGE]</a:t>
                    </a:fld>
                    <a:endParaRPr lang="en-IN"/>
                  </a:p>
                </c:rich>
              </c:tx>
              <c:spPr>
                <a:xfrm>
                  <a:off x="0" y="597120"/>
                  <a:ext cx="735332" cy="354827"/>
                </a:xfrm>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5782"/>
                        <a:gd name="adj2" fmla="val -44551"/>
                      </a:avLst>
                    </a:prstGeom>
                    <a:noFill/>
                    <a:ln>
                      <a:noFill/>
                    </a:ln>
                  </c15:spPr>
                  <c15:layout>
                    <c:manualLayout>
                      <c:w val="6.3515809119626024E-2"/>
                      <c:h val="0.30382977921784343"/>
                    </c:manualLayout>
                  </c15:layout>
                  <c15:dlblFieldTable/>
                  <c15:showDataLabelsRange val="1"/>
                </c:ext>
                <c:ext xmlns:c16="http://schemas.microsoft.com/office/drawing/2014/chart" uri="{C3380CC4-5D6E-409C-BE32-E72D297353CC}">
                  <c16:uniqueId val="{00000008-43BF-457B-B4E5-054BABB55D7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val>
            <c:numRef>
              <c:f>Working!$I$3</c:f>
              <c:numCache>
                <c:formatCode>0%</c:formatCode>
                <c:ptCount val="1"/>
                <c:pt idx="0">
                  <c:v>8.81057268722467E-4</c:v>
                </c:pt>
              </c:numCache>
            </c:numRef>
          </c:val>
          <c:extLst>
            <c:ext xmlns:c15="http://schemas.microsoft.com/office/drawing/2012/chart" uri="{02D57815-91ED-43cb-92C2-25804820EDAC}">
              <c15:datalabelsRange>
                <c15:f>Working!$K$3</c15:f>
                <c15:dlblRangeCache>
                  <c:ptCount val="1"/>
                  <c:pt idx="0">
                    <c:v>Start 
11-Oct-22</c:v>
                  </c:pt>
                </c15:dlblRangeCache>
              </c15:datalabelsRange>
            </c:ext>
            <c:ext xmlns:c16="http://schemas.microsoft.com/office/drawing/2014/chart" uri="{C3380CC4-5D6E-409C-BE32-E72D297353CC}">
              <c16:uniqueId val="{00000009-43BF-457B-B4E5-054BABB55D7C}"/>
            </c:ext>
          </c:extLst>
        </c:ser>
        <c:ser>
          <c:idx val="5"/>
          <c:order val="5"/>
          <c:tx>
            <c:v>today</c:v>
          </c:tx>
          <c:spPr>
            <a:noFill/>
            <a:ln>
              <a:noFill/>
            </a:ln>
            <a:effectLst/>
          </c:spPr>
          <c:invertIfNegative val="0"/>
          <c:dLbls>
            <c:dLbl>
              <c:idx val="0"/>
              <c:layout>
                <c:manualLayout>
                  <c:x val="-4.508787739068406E-2"/>
                  <c:y val="5.9637750821270152E-2"/>
                </c:manualLayout>
              </c:layout>
              <c:tx>
                <c:rich>
                  <a:bodyPr/>
                  <a:lstStyle/>
                  <a:p>
                    <a:fld id="{B4DA2AF3-31CC-4F48-A9EF-545246C40061}"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layout>
                    <c:manualLayout>
                      <c:w val="0.10530843790628922"/>
                      <c:h val="0.12334565650806611"/>
                    </c:manualLayout>
                  </c15:layout>
                  <c15:dlblFieldTable/>
                  <c15:showDataLabelsRange val="1"/>
                </c:ext>
                <c:ext xmlns:c16="http://schemas.microsoft.com/office/drawing/2014/chart" uri="{C3380CC4-5D6E-409C-BE32-E72D297353CC}">
                  <c16:uniqueId val="{0000000A-43BF-457B-B4E5-054BABB55D7C}"/>
                </c:ext>
              </c:extLst>
            </c:dLbl>
            <c:spPr>
              <a:noFill/>
              <a:ln>
                <a:noFill/>
              </a:ln>
              <a:effectLst/>
            </c:spPr>
            <c:txPr>
              <a:bodyPr rot="0" spcFirstLastPara="1" vertOverflow="ellipsis" vert="horz" wrap="square" anchor="ctr" anchorCtr="1"/>
              <a:lstStyle/>
              <a:p>
                <a:pPr algn="ct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Working!$I$4</c:f>
              <c:numCache>
                <c:formatCode>0%</c:formatCode>
                <c:ptCount val="1"/>
                <c:pt idx="0">
                  <c:v>0.69427312775330396</c:v>
                </c:pt>
              </c:numCache>
            </c:numRef>
          </c:val>
          <c:extLst>
            <c:ext xmlns:c15="http://schemas.microsoft.com/office/drawing/2012/chart" uri="{02D57815-91ED-43cb-92C2-25804820EDAC}">
              <c15:datalabelsRange>
                <c15:f>Working!$K$4</c15:f>
                <c15:dlblRangeCache>
                  <c:ptCount val="1"/>
                  <c:pt idx="0">
                    <c:v>Today 07-Dec-24</c:v>
                  </c:pt>
                </c15:dlblRangeCache>
              </c15:datalabelsRange>
            </c:ext>
            <c:ext xmlns:c16="http://schemas.microsoft.com/office/drawing/2014/chart" uri="{C3380CC4-5D6E-409C-BE32-E72D297353CC}">
              <c16:uniqueId val="{0000000B-43BF-457B-B4E5-054BABB55D7C}"/>
            </c:ext>
          </c:extLst>
        </c:ser>
        <c:ser>
          <c:idx val="6"/>
          <c:order val="6"/>
          <c:tx>
            <c:v>lecture</c:v>
          </c:tx>
          <c:spPr>
            <a:noFill/>
            <a:ln>
              <a:noFill/>
            </a:ln>
            <a:effectLst/>
          </c:spPr>
          <c:invertIfNegative val="0"/>
          <c:val>
            <c:numRef>
              <c:f>Working!$I$5</c:f>
              <c:numCache>
                <c:formatCode>0%</c:formatCode>
                <c:ptCount val="1"/>
                <c:pt idx="0">
                  <c:v>0.97709251101321581</c:v>
                </c:pt>
              </c:numCache>
            </c:numRef>
          </c:val>
          <c:extLst>
            <c:ext xmlns:c16="http://schemas.microsoft.com/office/drawing/2014/chart" uri="{C3380CC4-5D6E-409C-BE32-E72D297353CC}">
              <c16:uniqueId val="{0000000C-43BF-457B-B4E5-054BABB55D7C}"/>
            </c:ext>
          </c:extLst>
        </c:ser>
        <c:ser>
          <c:idx val="7"/>
          <c:order val="7"/>
          <c:tx>
            <c:v>revision</c:v>
          </c:tx>
          <c:spPr>
            <a:noFill/>
            <a:ln>
              <a:noFill/>
            </a:ln>
            <a:effectLst/>
          </c:spPr>
          <c:invertIfNegative val="0"/>
          <c:val>
            <c:numRef>
              <c:f>Working!$I$6</c:f>
              <c:numCache>
                <c:formatCode>0%</c:formatCode>
                <c:ptCount val="1"/>
                <c:pt idx="0">
                  <c:v>0.98149779735682818</c:v>
                </c:pt>
              </c:numCache>
            </c:numRef>
          </c:val>
          <c:extLst>
            <c:ext xmlns:c16="http://schemas.microsoft.com/office/drawing/2014/chart" uri="{C3380CC4-5D6E-409C-BE32-E72D297353CC}">
              <c16:uniqueId val="{0000000D-43BF-457B-B4E5-054BABB55D7C}"/>
            </c:ext>
          </c:extLst>
        </c:ser>
        <c:ser>
          <c:idx val="8"/>
          <c:order val="8"/>
          <c:tx>
            <c:v>exam</c:v>
          </c:tx>
          <c:spPr>
            <a:noFill/>
            <a:ln>
              <a:noFill/>
            </a:ln>
            <a:effectLst/>
          </c:spPr>
          <c:invertIfNegative val="0"/>
          <c:dLbls>
            <c:dLbl>
              <c:idx val="0"/>
              <c:layout>
                <c:manualLayout>
                  <c:x val="-7.1356833003855369E-2"/>
                  <c:y val="0.36269382192610539"/>
                </c:manualLayout>
              </c:layout>
              <c:tx>
                <c:rich>
                  <a:bodyPr/>
                  <a:lstStyle/>
                  <a:p>
                    <a:fld id="{E8D921F0-422B-470A-AC2D-751FA27FBF12}" type="CELLRANGE">
                      <a:rPr lang="en-US"/>
                      <a:pPr/>
                      <a:t>[CELLRANGE]</a:t>
                    </a:fld>
                    <a:endParaRPr lang="en-IN"/>
                  </a:p>
                </c:rich>
              </c:tx>
              <c:showLegendKey val="0"/>
              <c:showVal val="1"/>
              <c:showCatName val="0"/>
              <c:showSerName val="0"/>
              <c:showPercent val="0"/>
              <c:showBubbleSize val="0"/>
              <c:extLst>
                <c:ext xmlns:c15="http://schemas.microsoft.com/office/drawing/2012/chart" uri="{CE6537A1-D6FC-4f65-9D91-7224C49458BB}">
                  <c15:layout>
                    <c:manualLayout>
                      <c:w val="9.3660319774062764E-2"/>
                      <c:h val="0.14742843246723888"/>
                    </c:manualLayout>
                  </c15:layout>
                  <c15:dlblFieldTable/>
                  <c15:showDataLabelsRange val="1"/>
                </c:ext>
                <c:ext xmlns:c16="http://schemas.microsoft.com/office/drawing/2014/chart" uri="{C3380CC4-5D6E-409C-BE32-E72D297353CC}">
                  <c16:uniqueId val="{0000000E-43BF-457B-B4E5-054BABB55D7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Working!$I$7</c:f>
              <c:numCache>
                <c:formatCode>0%</c:formatCode>
                <c:ptCount val="1"/>
                <c:pt idx="0">
                  <c:v>1</c:v>
                </c:pt>
              </c:numCache>
            </c:numRef>
          </c:val>
          <c:extLst>
            <c:ext xmlns:c15="http://schemas.microsoft.com/office/drawing/2012/chart" uri="{02D57815-91ED-43cb-92C2-25804820EDAC}">
              <c15:datalabelsRange>
                <c15:f>Working!$K$7</c15:f>
                <c15:dlblRangeCache>
                  <c:ptCount val="1"/>
                  <c:pt idx="0">
                    <c:v>Exam 19-Nov-25</c:v>
                  </c:pt>
                </c15:dlblRangeCache>
              </c15:datalabelsRange>
            </c:ext>
            <c:ext xmlns:c16="http://schemas.microsoft.com/office/drawing/2014/chart" uri="{C3380CC4-5D6E-409C-BE32-E72D297353CC}">
              <c16:uniqueId val="{0000000F-43BF-457B-B4E5-054BABB55D7C}"/>
            </c:ext>
          </c:extLst>
        </c:ser>
        <c:dLbls>
          <c:showLegendKey val="0"/>
          <c:showVal val="0"/>
          <c:showCatName val="0"/>
          <c:showSerName val="0"/>
          <c:showPercent val="0"/>
          <c:showBubbleSize val="0"/>
        </c:dLbls>
        <c:gapWidth val="500"/>
        <c:axId val="1154661567"/>
        <c:axId val="1154663647"/>
      </c:barChart>
      <c:catAx>
        <c:axId val="1347660319"/>
        <c:scaling>
          <c:orientation val="minMax"/>
        </c:scaling>
        <c:delete val="1"/>
        <c:axPos val="l"/>
        <c:numFmt formatCode="0%" sourceLinked="1"/>
        <c:majorTickMark val="out"/>
        <c:minorTickMark val="none"/>
        <c:tickLblPos val="nextTo"/>
        <c:crossAx val="1347663647"/>
        <c:crosses val="autoZero"/>
        <c:auto val="1"/>
        <c:lblAlgn val="ctr"/>
        <c:lblOffset val="100"/>
        <c:noMultiLvlLbl val="0"/>
      </c:catAx>
      <c:valAx>
        <c:axId val="1347663647"/>
        <c:scaling>
          <c:orientation val="minMax"/>
        </c:scaling>
        <c:delete val="1"/>
        <c:axPos val="b"/>
        <c:numFmt formatCode="0%" sourceLinked="1"/>
        <c:majorTickMark val="out"/>
        <c:minorTickMark val="none"/>
        <c:tickLblPos val="nextTo"/>
        <c:crossAx val="1347660319"/>
        <c:crosses val="autoZero"/>
        <c:crossBetween val="between"/>
      </c:valAx>
      <c:valAx>
        <c:axId val="1154663647"/>
        <c:scaling>
          <c:orientation val="minMax"/>
          <c:max val="1"/>
        </c:scaling>
        <c:delete val="1"/>
        <c:axPos val="t"/>
        <c:numFmt formatCode="0%" sourceLinked="1"/>
        <c:majorTickMark val="out"/>
        <c:minorTickMark val="none"/>
        <c:tickLblPos val="nextTo"/>
        <c:crossAx val="1154661567"/>
        <c:crosses val="max"/>
        <c:crossBetween val="between"/>
      </c:valAx>
      <c:catAx>
        <c:axId val="1154661567"/>
        <c:scaling>
          <c:orientation val="minMax"/>
        </c:scaling>
        <c:delete val="1"/>
        <c:axPos val="r"/>
        <c:numFmt formatCode="0%" sourceLinked="1"/>
        <c:majorTickMark val="out"/>
        <c:minorTickMark val="none"/>
        <c:tickLblPos val="nextTo"/>
        <c:crossAx val="1154663647"/>
        <c:crosses val="max"/>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latin typeface="Tw Cen MT" panose="020B0602020104020603"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73A-43D9-A160-6477D2F1F8FB}"/>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73A-43D9-A160-6477D2F1F8FB}"/>
              </c:ext>
            </c:extLst>
          </c:dPt>
          <c:dPt>
            <c:idx val="2"/>
            <c:bubble3D val="0"/>
            <c:spPr>
              <a:solidFill>
                <a:srgbClr val="FFA3A3"/>
              </a:solidFill>
              <a:ln w="19050">
                <a:noFill/>
              </a:ln>
              <a:effectLst/>
            </c:spPr>
            <c:extLst>
              <c:ext xmlns:c16="http://schemas.microsoft.com/office/drawing/2014/chart" uri="{C3380CC4-5D6E-409C-BE32-E72D297353CC}">
                <c16:uniqueId val="{00000005-F73A-43D9-A160-6477D2F1F8FB}"/>
              </c:ext>
            </c:extLst>
          </c:dPt>
          <c:dPt>
            <c:idx val="3"/>
            <c:bubble3D val="0"/>
            <c:spPr>
              <a:solidFill>
                <a:srgbClr val="FF7979"/>
              </a:solidFill>
              <a:ln w="19050">
                <a:noFill/>
              </a:ln>
              <a:effectLst/>
            </c:spPr>
            <c:extLst>
              <c:ext xmlns:c16="http://schemas.microsoft.com/office/drawing/2014/chart" uri="{C3380CC4-5D6E-409C-BE32-E72D297353CC}">
                <c16:uniqueId val="{00000007-F73A-43D9-A160-6477D2F1F8FB}"/>
              </c:ext>
            </c:extLst>
          </c:dPt>
          <c:dLbls>
            <c:dLbl>
              <c:idx val="0"/>
              <c:tx>
                <c:rich>
                  <a:bodyPr/>
                  <a:lstStyle/>
                  <a:p>
                    <a:fld id="{05F73D8E-4122-4A29-B9E1-6979FBD451B0}"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73A-43D9-A160-6477D2F1F8FB}"/>
                </c:ext>
              </c:extLst>
            </c:dLbl>
            <c:dLbl>
              <c:idx val="1"/>
              <c:tx>
                <c:rich>
                  <a:bodyPr/>
                  <a:lstStyle/>
                  <a:p>
                    <a:fld id="{70195509-2941-4E02-B5F9-3D744DEA1788}"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73A-43D9-A160-6477D2F1F8FB}"/>
                </c:ext>
              </c:extLst>
            </c:dLbl>
            <c:dLbl>
              <c:idx val="2"/>
              <c:tx>
                <c:rich>
                  <a:bodyPr/>
                  <a:lstStyle/>
                  <a:p>
                    <a:fld id="{CDE591CD-5043-4CF2-91E3-4C59E8B13B83}"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73A-43D9-A160-6477D2F1F8FB}"/>
                </c:ext>
              </c:extLst>
            </c:dLbl>
            <c:dLbl>
              <c:idx val="3"/>
              <c:tx>
                <c:rich>
                  <a:bodyPr/>
                  <a:lstStyle/>
                  <a:p>
                    <a:fld id="{14B6C30E-348E-47C7-94F2-E08578E10D7F}"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73A-43D9-A160-6477D2F1F8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0.71055004508566266</c:v>
                </c:pt>
                <c:pt idx="3">
                  <c:v>0.28944995491433734</c:v>
                </c:pt>
              </c:numCache>
            </c:numRef>
          </c:val>
          <c:extLst>
            <c:ext xmlns:c15="http://schemas.microsoft.com/office/drawing/2012/chart" uri="{02D57815-91ED-43cb-92C2-25804820EDAC}">
              <c15:datalabelsRange>
                <c15:f>Working!$E$47:$E$50</c15:f>
                <c15:dlblRangeCache>
                  <c:ptCount val="4"/>
                  <c:pt idx="2">
                    <c:v>Extra Undone, 45</c:v>
                  </c:pt>
                  <c:pt idx="3">
                    <c:v>Undone, 18</c:v>
                  </c:pt>
                </c15:dlblRangeCache>
              </c15:datalabelsRange>
            </c:ext>
            <c:ext xmlns:c16="http://schemas.microsoft.com/office/drawing/2014/chart" uri="{C3380CC4-5D6E-409C-BE32-E72D297353CC}">
              <c16:uniqueId val="{00000008-F73A-43D9-A160-6477D2F1F8F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[FRM Part 1 Performance Tracker '25.xlsx]Working!PivotTable1</c:name>
    <c:fmtId val="8"/>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2">
              <a:shade val="76000"/>
            </a:schemeClr>
          </a:solidFill>
          <a:ln w="19050">
            <a:solidFill>
              <a:schemeClr val="lt1"/>
            </a:solidFill>
          </a:ln>
          <a:effectLst/>
        </c:spPr>
      </c:pivotFmt>
      <c:pivotFmt>
        <c:idx val="2"/>
        <c:spPr>
          <a:solidFill>
            <a:schemeClr val="accent2">
              <a:shade val="76000"/>
            </a:schemeClr>
          </a:solidFill>
          <a:ln w="19050">
            <a:solidFill>
              <a:schemeClr val="lt1"/>
            </a:solidFill>
          </a:ln>
          <a:effectLst/>
        </c:spPr>
      </c:pivotFmt>
      <c:pivotFmt>
        <c:idx val="3"/>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2">
              <a:shade val="76000"/>
            </a:schemeClr>
          </a:solidFill>
          <a:ln w="19050">
            <a:solidFill>
              <a:schemeClr val="lt1"/>
            </a:solidFill>
          </a:ln>
          <a:effectLst/>
        </c:spPr>
      </c:pivotFmt>
      <c:pivotFmt>
        <c:idx val="5"/>
        <c:spPr>
          <a:solidFill>
            <a:schemeClr val="accent2"/>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tx1">
              <a:lumMod val="50000"/>
              <a:lumOff val="50000"/>
            </a:schemeClr>
          </a:solidFill>
          <a:ln w="19050">
            <a:solidFill>
              <a:schemeClr val="tx1">
                <a:lumMod val="50000"/>
                <a:lumOff val="50000"/>
              </a:schemeClr>
            </a:solidFill>
          </a:ln>
          <a:effectLst/>
        </c:spPr>
      </c:pivotFmt>
      <c:pivotFmt>
        <c:idx val="7"/>
        <c:spPr>
          <a:solidFill>
            <a:schemeClr val="bg1">
              <a:lumMod val="85000"/>
            </a:schemeClr>
          </a:solidFill>
          <a:ln w="19050">
            <a:solidFill>
              <a:schemeClr val="tx1">
                <a:lumMod val="50000"/>
                <a:lumOff val="50000"/>
              </a:schemeClr>
            </a:solidFill>
          </a:ln>
          <a:effectLst/>
        </c:spPr>
      </c:pivotFmt>
      <c:pivotFmt>
        <c:idx val="8"/>
        <c:spPr>
          <a:solidFill>
            <a:schemeClr val="bg1">
              <a:lumMod val="95000"/>
            </a:schemeClr>
          </a:solidFill>
          <a:ln w="19050">
            <a:solidFill>
              <a:schemeClr val="bg1">
                <a:lumMod val="5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bg1">
              <a:lumMod val="50000"/>
            </a:schemeClr>
          </a:solidFill>
          <a:ln w="19050">
            <a:solidFill>
              <a:schemeClr val="bg1">
                <a:lumMod val="50000"/>
              </a:schemeClr>
            </a:solidFill>
          </a:ln>
          <a:effectLst/>
        </c:spPr>
      </c:pivotFmt>
      <c:pivotFmt>
        <c:idx val="10"/>
        <c:spPr>
          <a:solidFill>
            <a:schemeClr val="bg1">
              <a:lumMod val="85000"/>
            </a:schemeClr>
          </a:solidFill>
          <a:ln w="19050">
            <a:solidFill>
              <a:schemeClr val="bg1">
                <a:lumMod val="50000"/>
              </a:schemeClr>
            </a:solidFill>
          </a:ln>
          <a:effectLst/>
        </c:spPr>
      </c:pivotFmt>
    </c:pivotFmts>
    <c:plotArea>
      <c:layout/>
      <c:doughnutChart>
        <c:varyColors val="1"/>
        <c:ser>
          <c:idx val="0"/>
          <c:order val="0"/>
          <c:tx>
            <c:strRef>
              <c:f>Working!$C$77</c:f>
              <c:strCache>
                <c:ptCount val="1"/>
                <c:pt idx="0">
                  <c:v>Total</c:v>
                </c:pt>
              </c:strCache>
            </c:strRef>
          </c:tx>
          <c:spPr>
            <a:solidFill>
              <a:schemeClr val="bg1">
                <a:lumMod val="95000"/>
              </a:schemeClr>
            </a:solidFill>
            <a:ln>
              <a:solidFill>
                <a:schemeClr val="bg1">
                  <a:lumMod val="50000"/>
                </a:schemeClr>
              </a:solidFill>
            </a:ln>
          </c:spPr>
          <c:dPt>
            <c:idx val="0"/>
            <c:bubble3D val="0"/>
            <c:spPr>
              <a:solidFill>
                <a:schemeClr val="bg1">
                  <a:lumMod val="85000"/>
                </a:schemeClr>
              </a:solidFill>
              <a:ln w="19050">
                <a:solidFill>
                  <a:schemeClr val="bg1">
                    <a:lumMod val="50000"/>
                  </a:schemeClr>
                </a:solidFill>
              </a:ln>
              <a:effectLst/>
            </c:spPr>
            <c:extLst>
              <c:ext xmlns:c16="http://schemas.microsoft.com/office/drawing/2014/chart" uri="{C3380CC4-5D6E-409C-BE32-E72D297353CC}">
                <c16:uniqueId val="{00000001-7242-4029-8D62-58915CD86FF7}"/>
              </c:ext>
            </c:extLst>
          </c:dPt>
          <c:dPt>
            <c:idx val="1"/>
            <c:bubble3D val="0"/>
            <c:spPr>
              <a:solidFill>
                <a:schemeClr val="bg1">
                  <a:lumMod val="95000"/>
                </a:schemeClr>
              </a:solidFill>
              <a:ln w="19050">
                <a:solidFill>
                  <a:schemeClr val="bg1">
                    <a:lumMod val="50000"/>
                  </a:schemeClr>
                </a:solidFill>
              </a:ln>
              <a:effectLst/>
            </c:spPr>
            <c:extLst>
              <c:ext xmlns:c16="http://schemas.microsoft.com/office/drawing/2014/chart" uri="{C3380CC4-5D6E-409C-BE32-E72D297353CC}">
                <c16:uniqueId val="{00000003-7242-4029-8D62-58915CD86FF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Working!$B$78:$B$79</c:f>
              <c:strCache>
                <c:ptCount val="1"/>
                <c:pt idx="0">
                  <c:v>U</c:v>
                </c:pt>
              </c:strCache>
            </c:strRef>
          </c:cat>
          <c:val>
            <c:numRef>
              <c:f>Working!$C$78:$C$79</c:f>
              <c:numCache>
                <c:formatCode>General</c:formatCode>
                <c:ptCount val="1"/>
                <c:pt idx="0">
                  <c:v>15</c:v>
                </c:pt>
              </c:numCache>
            </c:numRef>
          </c:val>
          <c:extLst>
            <c:ext xmlns:c16="http://schemas.microsoft.com/office/drawing/2014/chart" uri="{C3380CC4-5D6E-409C-BE32-E72D297353CC}">
              <c16:uniqueId val="{00000004-7242-4029-8D62-58915CD86FF7}"/>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[FRM Part 1 Performance Tracker '25.xlsx]Working!PivotTable2</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4">
              <a:shade val="76000"/>
            </a:schemeClr>
          </a:solidFill>
          <a:ln w="19050">
            <a:solidFill>
              <a:schemeClr val="lt1"/>
            </a:solidFill>
          </a:ln>
          <a:effectLst/>
        </c:spPr>
      </c:pivotFmt>
      <c:pivotFmt>
        <c:idx val="2"/>
        <c:spPr>
          <a:solidFill>
            <a:schemeClr val="accent4">
              <a:shade val="76000"/>
            </a:schemeClr>
          </a:solidFill>
          <a:ln w="19050">
            <a:solidFill>
              <a:schemeClr val="lt1"/>
            </a:solidFill>
          </a:ln>
          <a:effectLst/>
        </c:spPr>
      </c:pivotFmt>
      <c:pivotFmt>
        <c:idx val="3"/>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4">
              <a:shade val="76000"/>
            </a:schemeClr>
          </a:solidFill>
          <a:ln w="19050">
            <a:solidFill>
              <a:schemeClr val="lt1"/>
            </a:solidFill>
          </a:ln>
          <a:effectLst/>
        </c:spPr>
      </c:pivotFmt>
      <c:pivotFmt>
        <c:idx val="5"/>
        <c:spPr>
          <a:solidFill>
            <a:schemeClr val="accent4"/>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6">
              <a:lumMod val="60000"/>
              <a:lumOff val="40000"/>
            </a:schemeClr>
          </a:solidFill>
          <a:ln w="19050">
            <a:solidFill>
              <a:schemeClr val="accent6">
                <a:lumMod val="60000"/>
                <a:lumOff val="40000"/>
              </a:schemeClr>
            </a:solidFill>
          </a:ln>
          <a:effectLst/>
        </c:spPr>
      </c:pivotFmt>
      <c:pivotFmt>
        <c:idx val="7"/>
        <c:spPr>
          <a:solidFill>
            <a:schemeClr val="accent6">
              <a:lumMod val="20000"/>
              <a:lumOff val="80000"/>
            </a:schemeClr>
          </a:solidFill>
          <a:ln w="19050">
            <a:solidFill>
              <a:schemeClr val="accent6">
                <a:lumMod val="60000"/>
                <a:lumOff val="40000"/>
              </a:schemeClr>
            </a:solidFill>
          </a:ln>
          <a:effectLst/>
        </c:spPr>
      </c:pivotFmt>
      <c:pivotFmt>
        <c:idx val="8"/>
        <c:spPr>
          <a:solidFill>
            <a:schemeClr val="accent4"/>
          </a:solidFill>
          <a:ln w="19050">
            <a:solidFill>
              <a:schemeClr val="accent6">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60000"/>
              <a:lumOff val="40000"/>
            </a:schemeClr>
          </a:solidFill>
          <a:ln w="19050">
            <a:solidFill>
              <a:schemeClr val="accent6">
                <a:lumMod val="60000"/>
                <a:lumOff val="40000"/>
              </a:schemeClr>
            </a:solidFill>
          </a:ln>
          <a:effectLst/>
        </c:spPr>
      </c:pivotFmt>
      <c:pivotFmt>
        <c:idx val="10"/>
        <c:spPr>
          <a:solidFill>
            <a:schemeClr val="accent6">
              <a:lumMod val="20000"/>
              <a:lumOff val="80000"/>
            </a:schemeClr>
          </a:solidFill>
          <a:ln w="19050">
            <a:solidFill>
              <a:schemeClr val="accent6">
                <a:lumMod val="60000"/>
                <a:lumOff val="40000"/>
              </a:schemeClr>
            </a:solidFill>
          </a:ln>
          <a:effectLst/>
        </c:spPr>
      </c:pivotFmt>
    </c:pivotFmts>
    <c:plotArea>
      <c:layout/>
      <c:doughnutChart>
        <c:varyColors val="1"/>
        <c:ser>
          <c:idx val="0"/>
          <c:order val="0"/>
          <c:tx>
            <c:strRef>
              <c:f>Working!$C$82</c:f>
              <c:strCache>
                <c:ptCount val="1"/>
                <c:pt idx="0">
                  <c:v>Total</c:v>
                </c:pt>
              </c:strCache>
            </c:strRef>
          </c:tx>
          <c:spPr>
            <a:ln>
              <a:solidFill>
                <a:schemeClr val="accent6">
                  <a:lumMod val="60000"/>
                  <a:lumOff val="40000"/>
                </a:schemeClr>
              </a:solidFill>
            </a:ln>
          </c:spPr>
          <c:dPt>
            <c:idx val="0"/>
            <c:bubble3D val="0"/>
            <c:spPr>
              <a:solidFill>
                <a:schemeClr val="accent6">
                  <a:lumMod val="20000"/>
                  <a:lumOff val="80000"/>
                </a:schemeClr>
              </a:solidFill>
              <a:ln w="19050">
                <a:solidFill>
                  <a:schemeClr val="accent6">
                    <a:lumMod val="60000"/>
                    <a:lumOff val="40000"/>
                  </a:schemeClr>
                </a:solidFill>
              </a:ln>
              <a:effectLst/>
            </c:spPr>
            <c:extLst>
              <c:ext xmlns:c16="http://schemas.microsoft.com/office/drawing/2014/chart" uri="{C3380CC4-5D6E-409C-BE32-E72D297353CC}">
                <c16:uniqueId val="{00000006-4FCC-4531-9861-D22E6803845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Working!$B$83:$B$84</c:f>
              <c:strCache>
                <c:ptCount val="1"/>
                <c:pt idx="0">
                  <c:v>U</c:v>
                </c:pt>
              </c:strCache>
            </c:strRef>
          </c:cat>
          <c:val>
            <c:numRef>
              <c:f>Working!$C$83:$C$84</c:f>
              <c:numCache>
                <c:formatCode>General</c:formatCode>
                <c:ptCount val="1"/>
                <c:pt idx="0">
                  <c:v>15</c:v>
                </c:pt>
              </c:numCache>
            </c:numRef>
          </c:val>
          <c:extLst>
            <c:ext xmlns:c16="http://schemas.microsoft.com/office/drawing/2014/chart" uri="{C3380CC4-5D6E-409C-BE32-E72D297353CC}">
              <c16:uniqueId val="{00000004-4FCC-4531-9861-D22E68038455}"/>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[FRM Part 1 Performance Tracker '25.xlsx]Working!PivotTable3</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Practice</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shade val="76000"/>
            </a:schemeClr>
          </a:solidFill>
          <a:ln w="19050">
            <a:solidFill>
              <a:schemeClr val="lt1"/>
            </a:solidFill>
          </a:ln>
          <a:effectLst/>
        </c:spPr>
      </c:pivotFmt>
      <c:pivotFmt>
        <c:idx val="2"/>
        <c:spPr>
          <a:solidFill>
            <a:schemeClr val="accent3">
              <a:shade val="76000"/>
            </a:schemeClr>
          </a:solidFill>
          <a:ln w="19050">
            <a:solidFill>
              <a:schemeClr val="lt1"/>
            </a:solidFill>
          </a:ln>
          <a:effectLst/>
        </c:spPr>
      </c:pivotFmt>
      <c:pivotFmt>
        <c:idx val="3"/>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3">
              <a:shade val="76000"/>
            </a:schemeClr>
          </a:solidFill>
          <a:ln w="19050">
            <a:solidFill>
              <a:schemeClr val="lt1"/>
            </a:solidFill>
          </a:ln>
          <a:effectLst/>
        </c:spPr>
      </c:pivotFmt>
      <c:pivotFmt>
        <c:idx val="5"/>
        <c:spPr>
          <a:solidFill>
            <a:schemeClr val="accent3"/>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2">
              <a:lumMod val="40000"/>
              <a:lumOff val="60000"/>
            </a:schemeClr>
          </a:solidFill>
          <a:ln w="19050">
            <a:solidFill>
              <a:schemeClr val="accent2">
                <a:lumMod val="75000"/>
              </a:schemeClr>
            </a:solidFill>
          </a:ln>
          <a:effectLst/>
        </c:spPr>
      </c:pivotFmt>
      <c:pivotFmt>
        <c:idx val="7"/>
        <c:spPr>
          <a:solidFill>
            <a:schemeClr val="accent2">
              <a:lumMod val="75000"/>
            </a:schemeClr>
          </a:solidFill>
          <a:ln w="19050">
            <a:solidFill>
              <a:schemeClr val="accent2">
                <a:lumMod val="75000"/>
              </a:schemeClr>
            </a:solidFill>
          </a:ln>
          <a:effectLst/>
        </c:spPr>
      </c:pivotFmt>
      <c:pivotFmt>
        <c:idx val="8"/>
        <c:spPr>
          <a:solidFill>
            <a:schemeClr val="accent3"/>
          </a:solidFill>
          <a:ln w="19050">
            <a:noFill/>
          </a:ln>
          <a:effectLst/>
        </c:spPr>
      </c:pivotFmt>
      <c:pivotFmt>
        <c:idx val="9"/>
        <c:spPr>
          <a:solidFill>
            <a:schemeClr val="accent3"/>
          </a:solidFill>
          <a:ln w="19050">
            <a:solidFill>
              <a:schemeClr val="accent2">
                <a:lumMod val="7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0"/>
        <c:spPr>
          <a:solidFill>
            <a:schemeClr val="accent2">
              <a:lumMod val="75000"/>
            </a:schemeClr>
          </a:solidFill>
          <a:ln w="19050">
            <a:solidFill>
              <a:schemeClr val="accent2">
                <a:lumMod val="75000"/>
              </a:schemeClr>
            </a:solidFill>
          </a:ln>
          <a:effectLst/>
        </c:spPr>
      </c:pivotFmt>
      <c:pivotFmt>
        <c:idx val="11"/>
        <c:spPr>
          <a:solidFill>
            <a:schemeClr val="accent2">
              <a:lumMod val="40000"/>
              <a:lumOff val="60000"/>
            </a:schemeClr>
          </a:solidFill>
          <a:ln w="19050">
            <a:solidFill>
              <a:schemeClr val="accent2">
                <a:lumMod val="75000"/>
              </a:schemeClr>
            </a:solidFill>
          </a:ln>
          <a:effectLst/>
        </c:spPr>
      </c:pivotFmt>
    </c:pivotFmts>
    <c:plotArea>
      <c:layout/>
      <c:doughnutChart>
        <c:varyColors val="1"/>
        <c:ser>
          <c:idx val="0"/>
          <c:order val="0"/>
          <c:tx>
            <c:strRef>
              <c:f>Working!$C$87</c:f>
              <c:strCache>
                <c:ptCount val="1"/>
                <c:pt idx="0">
                  <c:v>Total</c:v>
                </c:pt>
              </c:strCache>
            </c:strRef>
          </c:tx>
          <c:spPr>
            <a:ln>
              <a:solidFill>
                <a:schemeClr val="accent2">
                  <a:lumMod val="75000"/>
                </a:schemeClr>
              </a:solidFill>
            </a:ln>
          </c:spPr>
          <c:dPt>
            <c:idx val="0"/>
            <c:bubble3D val="0"/>
            <c:spPr>
              <a:solidFill>
                <a:schemeClr val="accent2">
                  <a:lumMod val="40000"/>
                  <a:lumOff val="60000"/>
                </a:schemeClr>
              </a:solidFill>
              <a:ln w="19050">
                <a:solidFill>
                  <a:schemeClr val="accent2">
                    <a:lumMod val="75000"/>
                  </a:schemeClr>
                </a:solidFill>
              </a:ln>
              <a:effectLst/>
            </c:spPr>
            <c:extLst>
              <c:ext xmlns:c16="http://schemas.microsoft.com/office/drawing/2014/chart" uri="{C3380CC4-5D6E-409C-BE32-E72D297353CC}">
                <c16:uniqueId val="{00000006-9192-4E86-93FF-58A8255D799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Working!$B$88:$B$89</c:f>
              <c:strCache>
                <c:ptCount val="1"/>
                <c:pt idx="0">
                  <c:v>U</c:v>
                </c:pt>
              </c:strCache>
            </c:strRef>
          </c:cat>
          <c:val>
            <c:numRef>
              <c:f>Working!$C$88:$C$89</c:f>
              <c:numCache>
                <c:formatCode>General</c:formatCode>
                <c:ptCount val="1"/>
                <c:pt idx="0">
                  <c:v>15</c:v>
                </c:pt>
              </c:numCache>
            </c:numRef>
          </c:val>
          <c:extLst>
            <c:ext xmlns:c16="http://schemas.microsoft.com/office/drawing/2014/chart" uri="{C3380CC4-5D6E-409C-BE32-E72D297353CC}">
              <c16:uniqueId val="{00000004-9192-4E86-93FF-58A8255D7995}"/>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https://wa.me/+919831779747" TargetMode="External"/><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hyperlink" Target="https://youtu.be/zzWlw3wJrg8" TargetMode="External"/><Relationship Id="rId5" Type="http://schemas.openxmlformats.org/officeDocument/2006/relationships/image" Target="../media/image3.png"/><Relationship Id="rId4" Type="http://schemas.openxmlformats.org/officeDocument/2006/relationships/hyperlink" Target="https://classes.aswinibajaj.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chart" Target="../charts/chart11.xml"/><Relationship Id="rId3" Type="http://schemas.openxmlformats.org/officeDocument/2006/relationships/chart" Target="../charts/chart4.xml"/><Relationship Id="rId7" Type="http://schemas.openxmlformats.org/officeDocument/2006/relationships/image" Target="../media/image5.png"/><Relationship Id="rId12" Type="http://schemas.openxmlformats.org/officeDocument/2006/relationships/chart" Target="../charts/chart10.xml"/><Relationship Id="rId17" Type="http://schemas.openxmlformats.org/officeDocument/2006/relationships/image" Target="../media/image7.png"/><Relationship Id="rId2" Type="http://schemas.openxmlformats.org/officeDocument/2006/relationships/chart" Target="../charts/chart3.xml"/><Relationship Id="rId16" Type="http://schemas.openxmlformats.org/officeDocument/2006/relationships/chart" Target="../charts/chart14.xml"/><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5" Type="http://schemas.openxmlformats.org/officeDocument/2006/relationships/chart" Target="../charts/chart13.xml"/><Relationship Id="rId10" Type="http://schemas.openxmlformats.org/officeDocument/2006/relationships/chart" Target="../charts/chart8.xml"/><Relationship Id="rId4" Type="http://schemas.openxmlformats.org/officeDocument/2006/relationships/image" Target="../media/image4.png"/><Relationship Id="rId9" Type="http://schemas.openxmlformats.org/officeDocument/2006/relationships/chart" Target="../charts/chart7.xml"/><Relationship Id="rId1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260252</xdr:colOff>
      <xdr:row>6</xdr:row>
      <xdr:rowOff>16607</xdr:rowOff>
    </xdr:from>
    <xdr:to>
      <xdr:col>3</xdr:col>
      <xdr:colOff>2559050</xdr:colOff>
      <xdr:row>8</xdr:row>
      <xdr:rowOff>114660</xdr:rowOff>
    </xdr:to>
    <xdr:sp macro="" textlink="">
      <xdr:nvSpPr>
        <xdr:cNvPr id="5" name="Text Box 2">
          <a:extLst>
            <a:ext uri="{FF2B5EF4-FFF2-40B4-BE49-F238E27FC236}">
              <a16:creationId xmlns:a16="http://schemas.microsoft.com/office/drawing/2014/main" id="{180A4801-58B6-413D-87DE-2393E6A7D03F}"/>
            </a:ext>
          </a:extLst>
        </xdr:cNvPr>
        <xdr:cNvSpPr txBox="1">
          <a:spLocks noChangeArrowheads="1"/>
        </xdr:cNvSpPr>
      </xdr:nvSpPr>
      <xdr:spPr bwMode="auto">
        <a:xfrm>
          <a:off x="521723" y="1137195"/>
          <a:ext cx="4248621" cy="41181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600" b="1" i="0" u="none" strike="noStrike" baseline="0">
              <a:solidFill>
                <a:schemeClr val="tx1">
                  <a:lumMod val="75000"/>
                  <a:lumOff val="25000"/>
                </a:schemeClr>
              </a:solidFill>
              <a:latin typeface="Tw Cen MT" panose="020B0602020104020603" pitchFamily="34" charset="0"/>
              <a:cs typeface="Calibri"/>
            </a:rPr>
            <a:t>Aswini Bajaj</a:t>
          </a:r>
          <a:endParaRPr lang="en-IN" sz="1100" b="0" i="0" u="none" strike="noStrike" baseline="0">
            <a:solidFill>
              <a:schemeClr val="tx1">
                <a:lumMod val="75000"/>
                <a:lumOff val="25000"/>
              </a:schemeClr>
            </a:solidFill>
            <a:latin typeface="Tw Cen MT" panose="020B0602020104020603" pitchFamily="34" charset="0"/>
            <a:cs typeface="Calibri"/>
          </a:endParaRPr>
        </a:p>
        <a:p>
          <a:pPr algn="l" rtl="0">
            <a:defRPr sz="1000"/>
          </a:pPr>
          <a:r>
            <a:rPr lang="en-IN" sz="1050" b="0" i="1" u="none" strike="noStrike" baseline="0">
              <a:solidFill>
                <a:schemeClr val="tx1">
                  <a:lumMod val="50000"/>
                  <a:lumOff val="50000"/>
                </a:schemeClr>
              </a:solidFill>
              <a:latin typeface="Tw Cen MT" panose="020B0602020104020603" pitchFamily="34" charset="0"/>
              <a:cs typeface="Calibri"/>
            </a:rPr>
            <a:t>CA, CS, CFA, FRM, CAIA, CFP</a:t>
          </a:r>
          <a:r>
            <a:rPr lang="en-IN" sz="1050" b="0" i="1" u="none" strike="noStrike" baseline="0">
              <a:solidFill>
                <a:schemeClr val="tx1">
                  <a:lumMod val="50000"/>
                  <a:lumOff val="50000"/>
                </a:schemeClr>
              </a:solidFill>
              <a:latin typeface="Tw Cen MT" panose="020B0602020104020603" pitchFamily="34" charset="0"/>
              <a:ea typeface="+mn-ea"/>
              <a:cs typeface="Calibri"/>
            </a:rPr>
            <a:t>, RV, CIPM, CCRA, CIIB, CIRA, AIM</a:t>
          </a:r>
        </a:p>
      </xdr:txBody>
    </xdr:sp>
    <xdr:clientData/>
  </xdr:twoCellAnchor>
  <xdr:twoCellAnchor>
    <xdr:from>
      <xdr:col>1</xdr:col>
      <xdr:colOff>216835</xdr:colOff>
      <xdr:row>6</xdr:row>
      <xdr:rowOff>30698</xdr:rowOff>
    </xdr:from>
    <xdr:to>
      <xdr:col>3</xdr:col>
      <xdr:colOff>2593496</xdr:colOff>
      <xdr:row>6</xdr:row>
      <xdr:rowOff>30698</xdr:rowOff>
    </xdr:to>
    <xdr:cxnSp macro="">
      <xdr:nvCxnSpPr>
        <xdr:cNvPr id="6" name="Straight Connector 5">
          <a:extLst>
            <a:ext uri="{FF2B5EF4-FFF2-40B4-BE49-F238E27FC236}">
              <a16:creationId xmlns:a16="http://schemas.microsoft.com/office/drawing/2014/main" id="{E230F239-7DBE-4353-A6AB-56F279C7E459}"/>
            </a:ext>
          </a:extLst>
        </xdr:cNvPr>
        <xdr:cNvCxnSpPr/>
      </xdr:nvCxnSpPr>
      <xdr:spPr>
        <a:xfrm>
          <a:off x="478306" y="115128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248091</xdr:colOff>
      <xdr:row>10</xdr:row>
      <xdr:rowOff>22106</xdr:rowOff>
    </xdr:from>
    <xdr:to>
      <xdr:col>3</xdr:col>
      <xdr:colOff>2572377</xdr:colOff>
      <xdr:row>10</xdr:row>
      <xdr:rowOff>22106</xdr:rowOff>
    </xdr:to>
    <xdr:cxnSp macro="">
      <xdr:nvCxnSpPr>
        <xdr:cNvPr id="7" name="Straight Connector 6">
          <a:extLst>
            <a:ext uri="{FF2B5EF4-FFF2-40B4-BE49-F238E27FC236}">
              <a16:creationId xmlns:a16="http://schemas.microsoft.com/office/drawing/2014/main" id="{3E87C980-AC01-40C4-AA8A-E733E08C4F09}"/>
            </a:ext>
          </a:extLst>
        </xdr:cNvPr>
        <xdr:cNvCxnSpPr/>
      </xdr:nvCxnSpPr>
      <xdr:spPr>
        <a:xfrm>
          <a:off x="509562" y="1882282"/>
          <a:ext cx="427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216835</xdr:colOff>
      <xdr:row>6</xdr:row>
      <xdr:rowOff>14858</xdr:rowOff>
    </xdr:from>
    <xdr:to>
      <xdr:col>3</xdr:col>
      <xdr:colOff>2593496</xdr:colOff>
      <xdr:row>6</xdr:row>
      <xdr:rowOff>14858</xdr:rowOff>
    </xdr:to>
    <xdr:cxnSp macro="">
      <xdr:nvCxnSpPr>
        <xdr:cNvPr id="8" name="Straight Connector 7">
          <a:extLst>
            <a:ext uri="{FF2B5EF4-FFF2-40B4-BE49-F238E27FC236}">
              <a16:creationId xmlns:a16="http://schemas.microsoft.com/office/drawing/2014/main" id="{CC4C0E14-731C-4210-803E-3662535CEF94}"/>
            </a:ext>
          </a:extLst>
        </xdr:cNvPr>
        <xdr:cNvCxnSpPr/>
      </xdr:nvCxnSpPr>
      <xdr:spPr>
        <a:xfrm>
          <a:off x="478306" y="113544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116957</xdr:colOff>
      <xdr:row>2</xdr:row>
      <xdr:rowOff>95977</xdr:rowOff>
    </xdr:from>
    <xdr:to>
      <xdr:col>2</xdr:col>
      <xdr:colOff>168370</xdr:colOff>
      <xdr:row>6</xdr:row>
      <xdr:rowOff>32495</xdr:rowOff>
    </xdr:to>
    <xdr:pic>
      <xdr:nvPicPr>
        <xdr:cNvPr id="9" name="Picture 8">
          <a:extLst>
            <a:ext uri="{FF2B5EF4-FFF2-40B4-BE49-F238E27FC236}">
              <a16:creationId xmlns:a16="http://schemas.microsoft.com/office/drawing/2014/main" id="{04FAAB88-2E0F-441D-888C-45546FFA1F3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378428" y="559153"/>
          <a:ext cx="880648" cy="676107"/>
        </a:xfrm>
        <a:prstGeom prst="rect">
          <a:avLst/>
        </a:prstGeom>
      </xdr:spPr>
    </xdr:pic>
    <xdr:clientData/>
  </xdr:twoCellAnchor>
  <xdr:twoCellAnchor editAs="oneCell">
    <xdr:from>
      <xdr:col>1</xdr:col>
      <xdr:colOff>260128</xdr:colOff>
      <xdr:row>9</xdr:row>
      <xdr:rowOff>35260</xdr:rowOff>
    </xdr:from>
    <xdr:to>
      <xdr:col>1</xdr:col>
      <xdr:colOff>381804</xdr:colOff>
      <xdr:row>9</xdr:row>
      <xdr:rowOff>151889</xdr:rowOff>
    </xdr:to>
    <xdr:pic>
      <xdr:nvPicPr>
        <xdr:cNvPr id="10" name="Picture 9">
          <a:extLst>
            <a:ext uri="{FF2B5EF4-FFF2-40B4-BE49-F238E27FC236}">
              <a16:creationId xmlns:a16="http://schemas.microsoft.com/office/drawing/2014/main" id="{AE19794D-A437-1198-DA57-DEF80EA92B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1599" y="1716142"/>
          <a:ext cx="121676" cy="116629"/>
        </a:xfrm>
        <a:prstGeom prst="rect">
          <a:avLst/>
        </a:prstGeom>
      </xdr:spPr>
    </xdr:pic>
    <xdr:clientData/>
  </xdr:twoCellAnchor>
  <xdr:twoCellAnchor>
    <xdr:from>
      <xdr:col>1</xdr:col>
      <xdr:colOff>361456</xdr:colOff>
      <xdr:row>8</xdr:row>
      <xdr:rowOff>241859</xdr:rowOff>
    </xdr:from>
    <xdr:to>
      <xdr:col>3</xdr:col>
      <xdr:colOff>635000</xdr:colOff>
      <xdr:row>10</xdr:row>
      <xdr:rowOff>26314</xdr:rowOff>
    </xdr:to>
    <xdr:sp macro="" textlink="">
      <xdr:nvSpPr>
        <xdr:cNvPr id="11" name="Text Box 2">
          <a:hlinkClick xmlns:r="http://schemas.openxmlformats.org/officeDocument/2006/relationships" r:id="rId4"/>
          <a:extLst>
            <a:ext uri="{FF2B5EF4-FFF2-40B4-BE49-F238E27FC236}">
              <a16:creationId xmlns:a16="http://schemas.microsoft.com/office/drawing/2014/main" id="{8688C1D7-1BB3-89F9-F35C-18BCC000D1C8}"/>
            </a:ext>
          </a:extLst>
        </xdr:cNvPr>
        <xdr:cNvSpPr txBox="1">
          <a:spLocks noChangeArrowheads="1"/>
        </xdr:cNvSpPr>
      </xdr:nvSpPr>
      <xdr:spPr bwMode="auto">
        <a:xfrm>
          <a:off x="622927" y="1676212"/>
          <a:ext cx="2223367" cy="21027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000" b="0" i="0" u="none" strike="noStrike" baseline="0">
              <a:solidFill>
                <a:schemeClr val="tx1">
                  <a:lumMod val="75000"/>
                  <a:lumOff val="25000"/>
                </a:schemeClr>
              </a:solidFill>
              <a:latin typeface="Tw Cen MT" panose="020B0602020104020603" pitchFamily="34" charset="0"/>
              <a:cs typeface="Calibri"/>
            </a:rPr>
            <a:t>classes.aswinibajaj.com</a:t>
          </a:r>
        </a:p>
      </xdr:txBody>
    </xdr:sp>
    <xdr:clientData/>
  </xdr:twoCellAnchor>
  <xdr:twoCellAnchor editAs="oneCell">
    <xdr:from>
      <xdr:col>3</xdr:col>
      <xdr:colOff>1300520</xdr:colOff>
      <xdr:row>9</xdr:row>
      <xdr:rowOff>17208</xdr:rowOff>
    </xdr:from>
    <xdr:to>
      <xdr:col>3</xdr:col>
      <xdr:colOff>1465438</xdr:colOff>
      <xdr:row>10</xdr:row>
      <xdr:rowOff>5101</xdr:rowOff>
    </xdr:to>
    <xdr:pic>
      <xdr:nvPicPr>
        <xdr:cNvPr id="14" name="Picture 13">
          <a:extLst>
            <a:ext uri="{FF2B5EF4-FFF2-40B4-BE49-F238E27FC236}">
              <a16:creationId xmlns:a16="http://schemas.microsoft.com/office/drawing/2014/main" id="{02F9292E-109C-BF50-E66E-A5767D6462B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11814" y="1698090"/>
          <a:ext cx="164918" cy="167187"/>
        </a:xfrm>
        <a:prstGeom prst="rect">
          <a:avLst/>
        </a:prstGeom>
      </xdr:spPr>
    </xdr:pic>
    <xdr:clientData/>
  </xdr:twoCellAnchor>
  <xdr:twoCellAnchor>
    <xdr:from>
      <xdr:col>1</xdr:col>
      <xdr:colOff>11205</xdr:colOff>
      <xdr:row>13</xdr:row>
      <xdr:rowOff>68683</xdr:rowOff>
    </xdr:from>
    <xdr:to>
      <xdr:col>6</xdr:col>
      <xdr:colOff>11206</xdr:colOff>
      <xdr:row>17</xdr:row>
      <xdr:rowOff>146050</xdr:rowOff>
    </xdr:to>
    <xdr:sp macro="" textlink="">
      <xdr:nvSpPr>
        <xdr:cNvPr id="13" name="TextBox 12">
          <a:extLst>
            <a:ext uri="{FF2B5EF4-FFF2-40B4-BE49-F238E27FC236}">
              <a16:creationId xmlns:a16="http://schemas.microsoft.com/office/drawing/2014/main" id="{1966664F-675C-4A32-8D92-8F310B5D0AD9}"/>
            </a:ext>
          </a:extLst>
        </xdr:cNvPr>
        <xdr:cNvSpPr txBox="1"/>
      </xdr:nvSpPr>
      <xdr:spPr>
        <a:xfrm>
          <a:off x="271555" y="2526133"/>
          <a:ext cx="10566401" cy="1341017"/>
        </a:xfrm>
        <a:prstGeom prst="rect">
          <a:avLst/>
        </a:prstGeom>
        <a:solidFill>
          <a:srgbClr val="FFF3EB"/>
        </a:solid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IN" sz="1400" b="1" i="1">
              <a:solidFill>
                <a:schemeClr val="accent2"/>
              </a:solidFill>
              <a:effectLst/>
              <a:latin typeface="Tw Cen MT" panose="020B0602020104020603" pitchFamily="34" charset="0"/>
              <a:ea typeface="+mn-ea"/>
              <a:cs typeface="+mn-cs"/>
            </a:rPr>
            <a:t>The harder you Work, The Luckier you Get!</a:t>
          </a:r>
          <a:endParaRPr lang="en-IN" sz="1400">
            <a:solidFill>
              <a:schemeClr val="accent2"/>
            </a:solidFill>
            <a:effectLst/>
            <a:latin typeface="Tw Cen MT" panose="020B0602020104020603" pitchFamily="34" charset="0"/>
            <a:ea typeface="+mn-ea"/>
            <a:cs typeface="+mn-cs"/>
          </a:endParaRPr>
        </a:p>
        <a:p>
          <a:endParaRPr lang="en-IN" sz="400" b="0" i="1">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Please see the details of the column headings of the ‘Input Sheet’. Make sure you have covered the ‘How to Study and Practice’ Lecture. It is very important as it has all the details on how to study and what all to practice. It is important that you follow instructions and all the mentoring provided very attentively and not miss out on the instructions.</a:t>
          </a:r>
        </a:p>
        <a:p>
          <a:endParaRPr lang="en-IN" sz="400" b="0">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You may keep updating your progress in the ‘Input Sheet’ and view a summary and target based on that in the next sheets. Mock tests are conducted across the entire syllabus and hence not included in this performance tracker. It is conducted between 10-20 days before the exam and al details regarding the same shall be provided via WhatsApp.</a:t>
          </a:r>
        </a:p>
        <a:p>
          <a:endParaRPr lang="en-IN" sz="400" b="0">
            <a:solidFill>
              <a:schemeClr val="dk1"/>
            </a:solidFill>
            <a:effectLst/>
            <a:latin typeface="Tw Cen MT" panose="020B0602020104020603" pitchFamily="34" charset="0"/>
            <a:ea typeface="+mn-ea"/>
            <a:cs typeface="+mn-cs"/>
          </a:endParaRPr>
        </a:p>
        <a:p>
          <a:r>
            <a:rPr lang="en-IN" sz="1400" b="1" i="1">
              <a:solidFill>
                <a:schemeClr val="accent2"/>
              </a:solidFill>
              <a:effectLst/>
              <a:latin typeface="Tw Cen MT" panose="020B0602020104020603" pitchFamily="34" charset="0"/>
              <a:ea typeface="+mn-ea"/>
              <a:cs typeface="+mn-cs"/>
            </a:rPr>
            <a:t>-Aswini Bajaj</a:t>
          </a:r>
          <a:endParaRPr lang="en-IN" sz="1400">
            <a:solidFill>
              <a:schemeClr val="accent2"/>
            </a:solidFill>
            <a:effectLst/>
            <a:latin typeface="Tw Cen MT" panose="020B0602020104020603" pitchFamily="34" charset="0"/>
            <a:ea typeface="+mn-ea"/>
            <a:cs typeface="+mn-cs"/>
          </a:endParaRPr>
        </a:p>
      </xdr:txBody>
    </xdr:sp>
    <xdr:clientData/>
  </xdr:twoCellAnchor>
  <xdr:twoCellAnchor>
    <xdr:from>
      <xdr:col>3</xdr:col>
      <xdr:colOff>2965824</xdr:colOff>
      <xdr:row>9</xdr:row>
      <xdr:rowOff>58792</xdr:rowOff>
    </xdr:from>
    <xdr:to>
      <xdr:col>5</xdr:col>
      <xdr:colOff>2719293</xdr:colOff>
      <xdr:row>10</xdr:row>
      <xdr:rowOff>82178</xdr:rowOff>
    </xdr:to>
    <xdr:sp macro="" textlink="">
      <xdr:nvSpPr>
        <xdr:cNvPr id="2" name="TextBox 1">
          <a:hlinkClick xmlns:r="http://schemas.openxmlformats.org/officeDocument/2006/relationships" r:id="rId6"/>
          <a:extLst>
            <a:ext uri="{FF2B5EF4-FFF2-40B4-BE49-F238E27FC236}">
              <a16:creationId xmlns:a16="http://schemas.microsoft.com/office/drawing/2014/main" id="{34D58339-8798-7A0C-F5C6-32941A2FAF5E}"/>
            </a:ext>
          </a:extLst>
        </xdr:cNvPr>
        <xdr:cNvSpPr txBox="1"/>
      </xdr:nvSpPr>
      <xdr:spPr>
        <a:xfrm>
          <a:off x="5177118" y="1739674"/>
          <a:ext cx="5132293" cy="202680"/>
        </a:xfrm>
        <a:prstGeom prst="rect">
          <a:avLst/>
        </a:prstGeom>
        <a:solidFill>
          <a:schemeClr val="bg1">
            <a:lumMod val="95000"/>
          </a:schemeClr>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200">
              <a:latin typeface="Tw Cen MT" panose="020B0602020104020603" pitchFamily="34" charset="0"/>
            </a:rPr>
            <a:t>Click</a:t>
          </a:r>
          <a:r>
            <a:rPr lang="en-IN" sz="1200" baseline="0">
              <a:latin typeface="Tw Cen MT" panose="020B0602020104020603" pitchFamily="34" charset="0"/>
            </a:rPr>
            <a:t> here to Learn how to use this tracker</a:t>
          </a:r>
          <a:endParaRPr lang="en-IN" sz="1200">
            <a:latin typeface="Tw Cen MT" panose="020B0602020104020603" pitchFamily="34" charset="0"/>
          </a:endParaRPr>
        </a:p>
      </xdr:txBody>
    </xdr:sp>
    <xdr:clientData/>
  </xdr:twoCellAnchor>
  <xdr:twoCellAnchor>
    <xdr:from>
      <xdr:col>3</xdr:col>
      <xdr:colOff>1005419</xdr:colOff>
      <xdr:row>9</xdr:row>
      <xdr:rowOff>10582</xdr:rowOff>
    </xdr:from>
    <xdr:to>
      <xdr:col>3</xdr:col>
      <xdr:colOff>2480302</xdr:colOff>
      <xdr:row>9</xdr:row>
      <xdr:rowOff>179648</xdr:rowOff>
    </xdr:to>
    <xdr:sp macro="" textlink="">
      <xdr:nvSpPr>
        <xdr:cNvPr id="3" name="Text Box 2">
          <a:hlinkClick xmlns:r="http://schemas.openxmlformats.org/officeDocument/2006/relationships" r:id="rId7"/>
          <a:extLst>
            <a:ext uri="{FF2B5EF4-FFF2-40B4-BE49-F238E27FC236}">
              <a16:creationId xmlns:a16="http://schemas.microsoft.com/office/drawing/2014/main" id="{78B16832-5E9C-4FBE-A4F8-790CCFC92C72}"/>
            </a:ext>
          </a:extLst>
        </xdr:cNvPr>
        <xdr:cNvSpPr txBox="1">
          <a:spLocks noChangeArrowheads="1"/>
        </xdr:cNvSpPr>
      </xdr:nvSpPr>
      <xdr:spPr bwMode="auto">
        <a:xfrm>
          <a:off x="3111502" y="1777999"/>
          <a:ext cx="1474883" cy="169066"/>
        </a:xfrm>
        <a:prstGeom prst="rect">
          <a:avLst/>
        </a:prstGeom>
        <a:noFill/>
        <a:ln w="9525">
          <a:noFill/>
          <a:miter lim="800000"/>
          <a:headEnd/>
          <a:tailEnd/>
        </a:ln>
      </xdr:spPr>
      <xdr:txBody>
        <a:bodyPr vertOverflow="clip" wrap="square" lIns="36576" tIns="32004" rIns="0" bIns="0" anchor="t" upright="1"/>
        <a:lstStyle/>
        <a:p>
          <a:pPr marL="0" indent="0" algn="r" rtl="0">
            <a:defRPr sz="1000"/>
          </a:pPr>
          <a:r>
            <a:rPr lang="en-IN" sz="1000" b="0" i="0" u="none" strike="noStrike" baseline="0">
              <a:solidFill>
                <a:schemeClr val="tx1">
                  <a:lumMod val="75000"/>
                  <a:lumOff val="25000"/>
                </a:schemeClr>
              </a:solidFill>
              <a:latin typeface="Tw Cen MT" panose="020B0602020104020603" pitchFamily="34" charset="0"/>
              <a:ea typeface="+mn-ea"/>
              <a:cs typeface="Calibri"/>
            </a:rPr>
            <a:t>+91 98317 79747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90715</xdr:colOff>
      <xdr:row>6</xdr:row>
      <xdr:rowOff>36286</xdr:rowOff>
    </xdr:from>
    <xdr:to>
      <xdr:col>14</xdr:col>
      <xdr:colOff>444500</xdr:colOff>
      <xdr:row>28</xdr:row>
      <xdr:rowOff>123266</xdr:rowOff>
    </xdr:to>
    <xdr:graphicFrame macro="">
      <xdr:nvGraphicFramePr>
        <xdr:cNvPr id="2" name="Chart 1">
          <a:extLst>
            <a:ext uri="{FF2B5EF4-FFF2-40B4-BE49-F238E27FC236}">
              <a16:creationId xmlns:a16="http://schemas.microsoft.com/office/drawing/2014/main" id="{A4C7B6D6-7661-4CC7-A5B2-D5F9AE8F1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628650</xdr:colOff>
      <xdr:row>5</xdr:row>
      <xdr:rowOff>186760</xdr:rowOff>
    </xdr:from>
    <xdr:to>
      <xdr:col>18</xdr:col>
      <xdr:colOff>44450</xdr:colOff>
      <xdr:row>13</xdr:row>
      <xdr:rowOff>97113</xdr:rowOff>
    </xdr:to>
    <xdr:graphicFrame macro="">
      <xdr:nvGraphicFramePr>
        <xdr:cNvPr id="33" name="Chart 32">
          <a:extLst>
            <a:ext uri="{FF2B5EF4-FFF2-40B4-BE49-F238E27FC236}">
              <a16:creationId xmlns:a16="http://schemas.microsoft.com/office/drawing/2014/main" id="{826D63A1-DEFD-4BF1-A618-DFD3377D3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205</xdr:row>
      <xdr:rowOff>90767</xdr:rowOff>
    </xdr:from>
    <xdr:to>
      <xdr:col>15</xdr:col>
      <xdr:colOff>0</xdr:colOff>
      <xdr:row>212</xdr:row>
      <xdr:rowOff>245408</xdr:rowOff>
    </xdr:to>
    <xdr:graphicFrame macro="">
      <xdr:nvGraphicFramePr>
        <xdr:cNvPr id="5" name="Chart 4">
          <a:extLst>
            <a:ext uri="{FF2B5EF4-FFF2-40B4-BE49-F238E27FC236}">
              <a16:creationId xmlns:a16="http://schemas.microsoft.com/office/drawing/2014/main" id="{8CC435D2-5CB2-4865-821A-57A48A15F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25</xdr:col>
      <xdr:colOff>165099</xdr:colOff>
      <xdr:row>6</xdr:row>
      <xdr:rowOff>38100</xdr:rowOff>
    </xdr:to>
    <xdr:graphicFrame macro="">
      <xdr:nvGraphicFramePr>
        <xdr:cNvPr id="6" name="Chart 5">
          <a:extLst>
            <a:ext uri="{FF2B5EF4-FFF2-40B4-BE49-F238E27FC236}">
              <a16:creationId xmlns:a16="http://schemas.microsoft.com/office/drawing/2014/main" id="{9BBC9EDB-CBF1-47A1-9D88-4B97E027C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100769</xdr:colOff>
      <xdr:row>4</xdr:row>
      <xdr:rowOff>53838</xdr:rowOff>
    </xdr:from>
    <xdr:ext cx="536712" cy="536712"/>
    <xdr:pic>
      <xdr:nvPicPr>
        <xdr:cNvPr id="7" name="Picture 6">
          <a:extLst>
            <a:ext uri="{FF2B5EF4-FFF2-40B4-BE49-F238E27FC236}">
              <a16:creationId xmlns:a16="http://schemas.microsoft.com/office/drawing/2014/main" id="{117C68D0-D930-4169-BA0C-EEAC51EC3587}"/>
            </a:ext>
          </a:extLst>
        </xdr:cNvPr>
        <xdr:cNvPicPr>
          <a:picLocks noChangeAspect="1"/>
        </xdr:cNvPicPr>
      </xdr:nvPicPr>
      <xdr:blipFill>
        <a:blip xmlns:r="http://schemas.openxmlformats.org/officeDocument/2006/relationships" r:embed="rId4" cstate="print">
          <a:alphaModFix/>
          <a:extLst>
            <a:ext uri="{28A0092B-C50C-407E-A947-70E740481C1C}">
              <a14:useLocalDpi xmlns:a14="http://schemas.microsoft.com/office/drawing/2010/main" val="0"/>
            </a:ext>
          </a:extLst>
        </a:blip>
        <a:stretch>
          <a:fillRect/>
        </a:stretch>
      </xdr:blipFill>
      <xdr:spPr>
        <a:xfrm>
          <a:off x="3034469" y="599938"/>
          <a:ext cx="536712" cy="536712"/>
        </a:xfrm>
        <a:prstGeom prst="rect">
          <a:avLst/>
        </a:prstGeom>
      </xdr:spPr>
    </xdr:pic>
    <xdr:clientData/>
  </xdr:oneCellAnchor>
  <xdr:twoCellAnchor editAs="oneCell">
    <xdr:from>
      <xdr:col>1</xdr:col>
      <xdr:colOff>0</xdr:colOff>
      <xdr:row>35</xdr:row>
      <xdr:rowOff>33130</xdr:rowOff>
    </xdr:from>
    <xdr:to>
      <xdr:col>5</xdr:col>
      <xdr:colOff>19050</xdr:colOff>
      <xdr:row>46</xdr:row>
      <xdr:rowOff>157132</xdr:rowOff>
    </xdr:to>
    <mc:AlternateContent xmlns:mc="http://schemas.openxmlformats.org/markup-compatibility/2006" xmlns:a14="http://schemas.microsoft.com/office/drawing/2010/main">
      <mc:Choice Requires="a14">
        <xdr:graphicFrame macro="">
          <xdr:nvGraphicFramePr>
            <xdr:cNvPr id="14" name="Subject 2">
              <a:extLst>
                <a:ext uri="{FF2B5EF4-FFF2-40B4-BE49-F238E27FC236}">
                  <a16:creationId xmlns:a16="http://schemas.microsoft.com/office/drawing/2014/main" id="{45C3588F-3530-4A47-BE97-705893B1B2C8}"/>
                </a:ext>
              </a:extLst>
            </xdr:cNvPr>
            <xdr:cNvGraphicFramePr/>
          </xdr:nvGraphicFramePr>
          <xdr:xfrm>
            <a:off x="0" y="0"/>
            <a:ext cx="0" cy="0"/>
          </xdr:xfrm>
          <a:graphic>
            <a:graphicData uri="http://schemas.microsoft.com/office/drawing/2010/slicer">
              <sle:slicer xmlns:sle="http://schemas.microsoft.com/office/drawing/2010/slicer" name="Subject 2"/>
            </a:graphicData>
          </a:graphic>
        </xdr:graphicFrame>
      </mc:Choice>
      <mc:Fallback xmlns="">
        <xdr:sp macro="" textlink="">
          <xdr:nvSpPr>
            <xdr:cNvPr id="0" name=""/>
            <xdr:cNvSpPr>
              <a:spLocks noTextEdit="1"/>
            </xdr:cNvSpPr>
          </xdr:nvSpPr>
          <xdr:spPr>
            <a:xfrm>
              <a:off x="0" y="6594826"/>
              <a:ext cx="1683373" cy="205595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163634</xdr:colOff>
      <xdr:row>12</xdr:row>
      <xdr:rowOff>125878</xdr:rowOff>
    </xdr:from>
    <xdr:to>
      <xdr:col>9</xdr:col>
      <xdr:colOff>186419</xdr:colOff>
      <xdr:row>25</xdr:row>
      <xdr:rowOff>17929</xdr:rowOff>
    </xdr:to>
    <xdr:graphicFrame macro="">
      <xdr:nvGraphicFramePr>
        <xdr:cNvPr id="15" name="Chart 14">
          <a:extLst>
            <a:ext uri="{FF2B5EF4-FFF2-40B4-BE49-F238E27FC236}">
              <a16:creationId xmlns:a16="http://schemas.microsoft.com/office/drawing/2014/main" id="{501CC012-AEE9-4721-9492-FACAD1F04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69439</xdr:colOff>
      <xdr:row>12</xdr:row>
      <xdr:rowOff>133836</xdr:rowOff>
    </xdr:from>
    <xdr:to>
      <xdr:col>13</xdr:col>
      <xdr:colOff>254589</xdr:colOff>
      <xdr:row>25</xdr:row>
      <xdr:rowOff>123825</xdr:rowOff>
    </xdr:to>
    <xdr:graphicFrame macro="">
      <xdr:nvGraphicFramePr>
        <xdr:cNvPr id="17" name="Chart 16">
          <a:extLst>
            <a:ext uri="{FF2B5EF4-FFF2-40B4-BE49-F238E27FC236}">
              <a16:creationId xmlns:a16="http://schemas.microsoft.com/office/drawing/2014/main" id="{416DEAD4-9EB7-1924-E6EB-3C6DA34C0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149226</xdr:colOff>
      <xdr:row>18</xdr:row>
      <xdr:rowOff>149224</xdr:rowOff>
    </xdr:from>
    <xdr:to>
      <xdr:col>18</xdr:col>
      <xdr:colOff>76351</xdr:colOff>
      <xdr:row>20</xdr:row>
      <xdr:rowOff>92224</xdr:rowOff>
    </xdr:to>
    <xdr:pic>
      <xdr:nvPicPr>
        <xdr:cNvPr id="12" name="Picture 11">
          <a:extLst>
            <a:ext uri="{FF2B5EF4-FFF2-40B4-BE49-F238E27FC236}">
              <a16:creationId xmlns:a16="http://schemas.microsoft.com/office/drawing/2014/main" id="{424AEE1C-E5C2-1B25-B2DF-57C2A57FB2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87050" y="3600636"/>
          <a:ext cx="338007" cy="331470"/>
        </a:xfrm>
        <a:prstGeom prst="rect">
          <a:avLst/>
        </a:prstGeom>
      </xdr:spPr>
    </xdr:pic>
    <xdr:clientData/>
  </xdr:twoCellAnchor>
  <xdr:twoCellAnchor editAs="oneCell">
    <xdr:from>
      <xdr:col>13</xdr:col>
      <xdr:colOff>42211</xdr:colOff>
      <xdr:row>18</xdr:row>
      <xdr:rowOff>165100</xdr:rowOff>
    </xdr:from>
    <xdr:to>
      <xdr:col>14</xdr:col>
      <xdr:colOff>713</xdr:colOff>
      <xdr:row>20</xdr:row>
      <xdr:rowOff>108100</xdr:rowOff>
    </xdr:to>
    <xdr:pic>
      <xdr:nvPicPr>
        <xdr:cNvPr id="16" name="Picture 15">
          <a:extLst>
            <a:ext uri="{FF2B5EF4-FFF2-40B4-BE49-F238E27FC236}">
              <a16:creationId xmlns:a16="http://schemas.microsoft.com/office/drawing/2014/main" id="{1C531CE3-E6F7-5286-E3D6-3F11625E22F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600329" y="3616512"/>
          <a:ext cx="360232" cy="331470"/>
        </a:xfrm>
        <a:prstGeom prst="rect">
          <a:avLst/>
        </a:prstGeom>
      </xdr:spPr>
    </xdr:pic>
    <xdr:clientData/>
  </xdr:twoCellAnchor>
  <xdr:twoCellAnchor>
    <xdr:from>
      <xdr:col>4</xdr:col>
      <xdr:colOff>306570</xdr:colOff>
      <xdr:row>34</xdr:row>
      <xdr:rowOff>86277</xdr:rowOff>
    </xdr:from>
    <xdr:to>
      <xdr:col>8</xdr:col>
      <xdr:colOff>713455</xdr:colOff>
      <xdr:row>47</xdr:row>
      <xdr:rowOff>31744</xdr:rowOff>
    </xdr:to>
    <xdr:graphicFrame macro="">
      <xdr:nvGraphicFramePr>
        <xdr:cNvPr id="20" name="Chart 19">
          <a:extLst>
            <a:ext uri="{FF2B5EF4-FFF2-40B4-BE49-F238E27FC236}">
              <a16:creationId xmlns:a16="http://schemas.microsoft.com/office/drawing/2014/main" id="{04C9773B-7341-4695-89CD-7693835C0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54451</xdr:colOff>
      <xdr:row>34</xdr:row>
      <xdr:rowOff>79927</xdr:rowOff>
    </xdr:from>
    <xdr:to>
      <xdr:col>12</xdr:col>
      <xdr:colOff>296235</xdr:colOff>
      <xdr:row>47</xdr:row>
      <xdr:rowOff>31744</xdr:rowOff>
    </xdr:to>
    <xdr:graphicFrame macro="">
      <xdr:nvGraphicFramePr>
        <xdr:cNvPr id="21" name="Chart 20">
          <a:extLst>
            <a:ext uri="{FF2B5EF4-FFF2-40B4-BE49-F238E27FC236}">
              <a16:creationId xmlns:a16="http://schemas.microsoft.com/office/drawing/2014/main" id="{7E4AE8E4-1ADA-4B8F-BE5A-474DF8656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492986</xdr:colOff>
      <xdr:row>34</xdr:row>
      <xdr:rowOff>86277</xdr:rowOff>
    </xdr:from>
    <xdr:to>
      <xdr:col>15</xdr:col>
      <xdr:colOff>1246</xdr:colOff>
      <xdr:row>47</xdr:row>
      <xdr:rowOff>31744</xdr:rowOff>
    </xdr:to>
    <xdr:graphicFrame macro="">
      <xdr:nvGraphicFramePr>
        <xdr:cNvPr id="22" name="Chart 21">
          <a:extLst>
            <a:ext uri="{FF2B5EF4-FFF2-40B4-BE49-F238E27FC236}">
              <a16:creationId xmlns:a16="http://schemas.microsoft.com/office/drawing/2014/main" id="{67F2CA05-E092-4A38-B56B-576DE6DB4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96683</xdr:colOff>
      <xdr:row>34</xdr:row>
      <xdr:rowOff>86277</xdr:rowOff>
    </xdr:from>
    <xdr:to>
      <xdr:col>18</xdr:col>
      <xdr:colOff>540287</xdr:colOff>
      <xdr:row>47</xdr:row>
      <xdr:rowOff>31744</xdr:rowOff>
    </xdr:to>
    <xdr:graphicFrame macro="">
      <xdr:nvGraphicFramePr>
        <xdr:cNvPr id="23" name="Chart 22">
          <a:extLst>
            <a:ext uri="{FF2B5EF4-FFF2-40B4-BE49-F238E27FC236}">
              <a16:creationId xmlns:a16="http://schemas.microsoft.com/office/drawing/2014/main" id="{165B5498-2D1D-41A1-A3A7-11C231330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300268</xdr:colOff>
      <xdr:row>34</xdr:row>
      <xdr:rowOff>86277</xdr:rowOff>
    </xdr:from>
    <xdr:to>
      <xdr:col>22</xdr:col>
      <xdr:colOff>196849</xdr:colOff>
      <xdr:row>47</xdr:row>
      <xdr:rowOff>31744</xdr:rowOff>
    </xdr:to>
    <xdr:graphicFrame macro="">
      <xdr:nvGraphicFramePr>
        <xdr:cNvPr id="24" name="Chart 23">
          <a:extLst>
            <a:ext uri="{FF2B5EF4-FFF2-40B4-BE49-F238E27FC236}">
              <a16:creationId xmlns:a16="http://schemas.microsoft.com/office/drawing/2014/main" id="{5D1CECD3-417F-4459-97DB-8157941AF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134846</xdr:colOff>
      <xdr:row>28</xdr:row>
      <xdr:rowOff>272910</xdr:rowOff>
    </xdr:from>
    <xdr:to>
      <xdr:col>6</xdr:col>
      <xdr:colOff>602846</xdr:colOff>
      <xdr:row>28</xdr:row>
      <xdr:rowOff>272910</xdr:rowOff>
    </xdr:to>
    <xdr:cxnSp macro="">
      <xdr:nvCxnSpPr>
        <xdr:cNvPr id="3" name="Straight Connector 2">
          <a:extLst>
            <a:ext uri="{FF2B5EF4-FFF2-40B4-BE49-F238E27FC236}">
              <a16:creationId xmlns:a16="http://schemas.microsoft.com/office/drawing/2014/main" id="{2ECE3706-FC85-ED01-E0D3-2FA1C974449B}"/>
            </a:ext>
          </a:extLst>
        </xdr:cNvPr>
        <xdr:cNvCxnSpPr/>
      </xdr:nvCxnSpPr>
      <xdr:spPr>
        <a:xfrm>
          <a:off x="21477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197697</xdr:colOff>
      <xdr:row>29</xdr:row>
      <xdr:rowOff>18910</xdr:rowOff>
    </xdr:from>
    <xdr:to>
      <xdr:col>4</xdr:col>
      <xdr:colOff>641596</xdr:colOff>
      <xdr:row>29</xdr:row>
      <xdr:rowOff>18910</xdr:rowOff>
    </xdr:to>
    <xdr:cxnSp macro="">
      <xdr:nvCxnSpPr>
        <xdr:cNvPr id="25" name="Straight Connector 24">
          <a:extLst>
            <a:ext uri="{FF2B5EF4-FFF2-40B4-BE49-F238E27FC236}">
              <a16:creationId xmlns:a16="http://schemas.microsoft.com/office/drawing/2014/main" id="{6613A3A1-1CB5-C555-EFA8-A14D009C1950}"/>
            </a:ext>
          </a:extLst>
        </xdr:cNvPr>
        <xdr:cNvCxnSpPr/>
      </xdr:nvCxnSpPr>
      <xdr:spPr>
        <a:xfrm>
          <a:off x="794597" y="3822560"/>
          <a:ext cx="68519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134846</xdr:colOff>
      <xdr:row>28</xdr:row>
      <xdr:rowOff>272910</xdr:rowOff>
    </xdr:from>
    <xdr:to>
      <xdr:col>8</xdr:col>
      <xdr:colOff>602846</xdr:colOff>
      <xdr:row>28</xdr:row>
      <xdr:rowOff>272910</xdr:rowOff>
    </xdr:to>
    <xdr:cxnSp macro="">
      <xdr:nvCxnSpPr>
        <xdr:cNvPr id="26" name="Straight Connector 25">
          <a:extLst>
            <a:ext uri="{FF2B5EF4-FFF2-40B4-BE49-F238E27FC236}">
              <a16:creationId xmlns:a16="http://schemas.microsoft.com/office/drawing/2014/main" id="{4B2BEB1D-8643-CCBC-E3A1-AB58095DCEF0}"/>
            </a:ext>
          </a:extLst>
        </xdr:cNvPr>
        <xdr:cNvCxnSpPr/>
      </xdr:nvCxnSpPr>
      <xdr:spPr>
        <a:xfrm>
          <a:off x="29796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133259</xdr:colOff>
      <xdr:row>29</xdr:row>
      <xdr:rowOff>3035</xdr:rowOff>
    </xdr:from>
    <xdr:to>
      <xdr:col>10</xdr:col>
      <xdr:colOff>601259</xdr:colOff>
      <xdr:row>29</xdr:row>
      <xdr:rowOff>3035</xdr:rowOff>
    </xdr:to>
    <xdr:cxnSp macro="">
      <xdr:nvCxnSpPr>
        <xdr:cNvPr id="27" name="Straight Connector 26">
          <a:extLst>
            <a:ext uri="{FF2B5EF4-FFF2-40B4-BE49-F238E27FC236}">
              <a16:creationId xmlns:a16="http://schemas.microsoft.com/office/drawing/2014/main" id="{0AE4F931-69C2-2BF5-C3D8-DBA83C1A600A}"/>
            </a:ext>
          </a:extLst>
        </xdr:cNvPr>
        <xdr:cNvCxnSpPr/>
      </xdr:nvCxnSpPr>
      <xdr:spPr>
        <a:xfrm>
          <a:off x="4125822" y="5210035"/>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160246</xdr:colOff>
      <xdr:row>28</xdr:row>
      <xdr:rowOff>272910</xdr:rowOff>
    </xdr:from>
    <xdr:to>
      <xdr:col>12</xdr:col>
      <xdr:colOff>628246</xdr:colOff>
      <xdr:row>28</xdr:row>
      <xdr:rowOff>272910</xdr:rowOff>
    </xdr:to>
    <xdr:cxnSp macro="">
      <xdr:nvCxnSpPr>
        <xdr:cNvPr id="28" name="Straight Connector 27">
          <a:extLst>
            <a:ext uri="{FF2B5EF4-FFF2-40B4-BE49-F238E27FC236}">
              <a16:creationId xmlns:a16="http://schemas.microsoft.com/office/drawing/2014/main" id="{27595A84-AD5E-DB0C-ABAF-D14DFDDBD4DC}"/>
            </a:ext>
          </a:extLst>
        </xdr:cNvPr>
        <xdr:cNvCxnSpPr/>
      </xdr:nvCxnSpPr>
      <xdr:spPr>
        <a:xfrm>
          <a:off x="4979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128496</xdr:colOff>
      <xdr:row>28</xdr:row>
      <xdr:rowOff>272910</xdr:rowOff>
    </xdr:from>
    <xdr:to>
      <xdr:col>14</xdr:col>
      <xdr:colOff>596496</xdr:colOff>
      <xdr:row>28</xdr:row>
      <xdr:rowOff>272910</xdr:rowOff>
    </xdr:to>
    <xdr:cxnSp macro="">
      <xdr:nvCxnSpPr>
        <xdr:cNvPr id="29" name="Straight Connector 28">
          <a:extLst>
            <a:ext uri="{FF2B5EF4-FFF2-40B4-BE49-F238E27FC236}">
              <a16:creationId xmlns:a16="http://schemas.microsoft.com/office/drawing/2014/main" id="{70F938C4-DB41-E52F-4550-A69DA625D363}"/>
            </a:ext>
          </a:extLst>
        </xdr:cNvPr>
        <xdr:cNvCxnSpPr/>
      </xdr:nvCxnSpPr>
      <xdr:spPr>
        <a:xfrm>
          <a:off x="60911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128496</xdr:colOff>
      <xdr:row>28</xdr:row>
      <xdr:rowOff>272910</xdr:rowOff>
    </xdr:from>
    <xdr:to>
      <xdr:col>16</xdr:col>
      <xdr:colOff>596496</xdr:colOff>
      <xdr:row>28</xdr:row>
      <xdr:rowOff>272910</xdr:rowOff>
    </xdr:to>
    <xdr:cxnSp macro="">
      <xdr:nvCxnSpPr>
        <xdr:cNvPr id="30" name="Straight Connector 29">
          <a:extLst>
            <a:ext uri="{FF2B5EF4-FFF2-40B4-BE49-F238E27FC236}">
              <a16:creationId xmlns:a16="http://schemas.microsoft.com/office/drawing/2014/main" id="{8EA0D70A-980C-A7AB-0C50-0583BEAF0F1F}"/>
            </a:ext>
          </a:extLst>
        </xdr:cNvPr>
        <xdr:cNvCxnSpPr/>
      </xdr:nvCxnSpPr>
      <xdr:spPr>
        <a:xfrm>
          <a:off x="69229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153896</xdr:colOff>
      <xdr:row>28</xdr:row>
      <xdr:rowOff>272910</xdr:rowOff>
    </xdr:from>
    <xdr:to>
      <xdr:col>18</xdr:col>
      <xdr:colOff>621896</xdr:colOff>
      <xdr:row>28</xdr:row>
      <xdr:rowOff>272910</xdr:rowOff>
    </xdr:to>
    <xdr:cxnSp macro="">
      <xdr:nvCxnSpPr>
        <xdr:cNvPr id="31" name="Straight Connector 30">
          <a:extLst>
            <a:ext uri="{FF2B5EF4-FFF2-40B4-BE49-F238E27FC236}">
              <a16:creationId xmlns:a16="http://schemas.microsoft.com/office/drawing/2014/main" id="{10B73018-F284-6949-BAE7-92F3CEA6E887}"/>
            </a:ext>
          </a:extLst>
        </xdr:cNvPr>
        <xdr:cNvCxnSpPr/>
      </xdr:nvCxnSpPr>
      <xdr:spPr>
        <a:xfrm>
          <a:off x="80913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147546</xdr:colOff>
      <xdr:row>28</xdr:row>
      <xdr:rowOff>272910</xdr:rowOff>
    </xdr:from>
    <xdr:to>
      <xdr:col>20</xdr:col>
      <xdr:colOff>615546</xdr:colOff>
      <xdr:row>28</xdr:row>
      <xdr:rowOff>272910</xdr:rowOff>
    </xdr:to>
    <xdr:cxnSp macro="">
      <xdr:nvCxnSpPr>
        <xdr:cNvPr id="32" name="Straight Connector 31">
          <a:extLst>
            <a:ext uri="{FF2B5EF4-FFF2-40B4-BE49-F238E27FC236}">
              <a16:creationId xmlns:a16="http://schemas.microsoft.com/office/drawing/2014/main" id="{00EF2C31-CE9C-E353-79AA-9AA4B6BC3B2F}"/>
            </a:ext>
          </a:extLst>
        </xdr:cNvPr>
        <xdr:cNvCxnSpPr/>
      </xdr:nvCxnSpPr>
      <xdr:spPr>
        <a:xfrm>
          <a:off x="8916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160246</xdr:colOff>
      <xdr:row>28</xdr:row>
      <xdr:rowOff>272910</xdr:rowOff>
    </xdr:from>
    <xdr:to>
      <xdr:col>16</xdr:col>
      <xdr:colOff>628246</xdr:colOff>
      <xdr:row>28</xdr:row>
      <xdr:rowOff>272910</xdr:rowOff>
    </xdr:to>
    <xdr:cxnSp macro="">
      <xdr:nvCxnSpPr>
        <xdr:cNvPr id="34" name="Straight Connector 33">
          <a:extLst>
            <a:ext uri="{FF2B5EF4-FFF2-40B4-BE49-F238E27FC236}">
              <a16:creationId xmlns:a16="http://schemas.microsoft.com/office/drawing/2014/main" id="{708DBEF0-9529-476F-B7D6-ED7EC3179DB7}"/>
            </a:ext>
          </a:extLst>
        </xdr:cNvPr>
        <xdr:cNvCxnSpPr/>
      </xdr:nvCxnSpPr>
      <xdr:spPr>
        <a:xfrm>
          <a:off x="4979896" y="521321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123647</xdr:colOff>
      <xdr:row>12</xdr:row>
      <xdr:rowOff>125878</xdr:rowOff>
    </xdr:from>
    <xdr:to>
      <xdr:col>13</xdr:col>
      <xdr:colOff>149794</xdr:colOff>
      <xdr:row>25</xdr:row>
      <xdr:rowOff>17929</xdr:rowOff>
    </xdr:to>
    <xdr:graphicFrame macro="">
      <xdr:nvGraphicFramePr>
        <xdr:cNvPr id="35" name="Chart 34">
          <a:extLst>
            <a:ext uri="{FF2B5EF4-FFF2-40B4-BE49-F238E27FC236}">
              <a16:creationId xmlns:a16="http://schemas.microsoft.com/office/drawing/2014/main" id="{B1688BDE-4991-4E89-AEFE-2D5F3D3C6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271573</xdr:colOff>
      <xdr:row>12</xdr:row>
      <xdr:rowOff>125878</xdr:rowOff>
    </xdr:from>
    <xdr:to>
      <xdr:col>17</xdr:col>
      <xdr:colOff>297720</xdr:colOff>
      <xdr:row>25</xdr:row>
      <xdr:rowOff>17929</xdr:rowOff>
    </xdr:to>
    <xdr:graphicFrame macro="">
      <xdr:nvGraphicFramePr>
        <xdr:cNvPr id="36" name="Chart 35">
          <a:extLst>
            <a:ext uri="{FF2B5EF4-FFF2-40B4-BE49-F238E27FC236}">
              <a16:creationId xmlns:a16="http://schemas.microsoft.com/office/drawing/2014/main" id="{0BA73D60-B4FD-450E-8749-B82B7AD6F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xdr:col>
      <xdr:colOff>60140</xdr:colOff>
      <xdr:row>12</xdr:row>
      <xdr:rowOff>125878</xdr:rowOff>
    </xdr:from>
    <xdr:to>
      <xdr:col>22</xdr:col>
      <xdr:colOff>86286</xdr:colOff>
      <xdr:row>25</xdr:row>
      <xdr:rowOff>17929</xdr:rowOff>
    </xdr:to>
    <xdr:graphicFrame macro="">
      <xdr:nvGraphicFramePr>
        <xdr:cNvPr id="37" name="Chart 36">
          <a:extLst>
            <a:ext uri="{FF2B5EF4-FFF2-40B4-BE49-F238E27FC236}">
              <a16:creationId xmlns:a16="http://schemas.microsoft.com/office/drawing/2014/main" id="{1D92C9FD-289B-475A-A455-79B06F4E6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21</xdr:col>
      <xdr:colOff>182657</xdr:colOff>
      <xdr:row>5</xdr:row>
      <xdr:rowOff>21279</xdr:rowOff>
    </xdr:from>
    <xdr:to>
      <xdr:col>22</xdr:col>
      <xdr:colOff>343648</xdr:colOff>
      <xdr:row>7</xdr:row>
      <xdr:rowOff>118396</xdr:rowOff>
    </xdr:to>
    <xdr:pic>
      <xdr:nvPicPr>
        <xdr:cNvPr id="38" name="Picture 37">
          <a:extLst>
            <a:ext uri="{FF2B5EF4-FFF2-40B4-BE49-F238E27FC236}">
              <a16:creationId xmlns:a16="http://schemas.microsoft.com/office/drawing/2014/main" id="{AE96C87C-7A85-8D4F-BB1F-1821FD84943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225804" y="727250"/>
          <a:ext cx="553197" cy="578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141947</xdr:colOff>
      <xdr:row>39</xdr:row>
      <xdr:rowOff>67231</xdr:rowOff>
    </xdr:from>
    <xdr:to>
      <xdr:col>8</xdr:col>
      <xdr:colOff>476416</xdr:colOff>
      <xdr:row>52</xdr:row>
      <xdr:rowOff>175816</xdr:rowOff>
    </xdr:to>
    <xdr:graphicFrame macro="">
      <xdr:nvGraphicFramePr>
        <xdr:cNvPr id="2" name="Chart 1">
          <a:extLst>
            <a:ext uri="{FF2B5EF4-FFF2-40B4-BE49-F238E27FC236}">
              <a16:creationId xmlns:a16="http://schemas.microsoft.com/office/drawing/2014/main" id="{466DB073-4310-4D32-81BE-37099CB49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667876</xdr:colOff>
      <xdr:row>45</xdr:row>
      <xdr:rowOff>174808</xdr:rowOff>
    </xdr:from>
    <xdr:to>
      <xdr:col>10</xdr:col>
      <xdr:colOff>412169</xdr:colOff>
      <xdr:row>59</xdr:row>
      <xdr:rowOff>178804</xdr:rowOff>
    </xdr:to>
    <xdr:graphicFrame macro="">
      <xdr:nvGraphicFramePr>
        <xdr:cNvPr id="3" name="Chart 2">
          <a:extLst>
            <a:ext uri="{FF2B5EF4-FFF2-40B4-BE49-F238E27FC236}">
              <a16:creationId xmlns:a16="http://schemas.microsoft.com/office/drawing/2014/main" id="{2FC18313-20C9-DEB6-E93C-B36B88DF4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297335</xdr:colOff>
      <xdr:row>54</xdr:row>
      <xdr:rowOff>43328</xdr:rowOff>
    </xdr:from>
    <xdr:to>
      <xdr:col>8</xdr:col>
      <xdr:colOff>19216</xdr:colOff>
      <xdr:row>67</xdr:row>
      <xdr:rowOff>104588</xdr:rowOff>
    </xdr:to>
    <xdr:graphicFrame macro="">
      <xdr:nvGraphicFramePr>
        <xdr:cNvPr id="4" name="Chart 3">
          <a:extLst>
            <a:ext uri="{FF2B5EF4-FFF2-40B4-BE49-F238E27FC236}">
              <a16:creationId xmlns:a16="http://schemas.microsoft.com/office/drawing/2014/main" id="{B057B183-738D-5071-5B06-7DF5B3599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76206</xdr:colOff>
      <xdr:row>61</xdr:row>
      <xdr:rowOff>150905</xdr:rowOff>
    </xdr:from>
    <xdr:to>
      <xdr:col>10</xdr:col>
      <xdr:colOff>537675</xdr:colOff>
      <xdr:row>75</xdr:row>
      <xdr:rowOff>32870</xdr:rowOff>
    </xdr:to>
    <xdr:graphicFrame macro="">
      <xdr:nvGraphicFramePr>
        <xdr:cNvPr id="5" name="Chart 4">
          <a:extLst>
            <a:ext uri="{FF2B5EF4-FFF2-40B4-BE49-F238E27FC236}">
              <a16:creationId xmlns:a16="http://schemas.microsoft.com/office/drawing/2014/main" id="{47D60EDA-45F6-7AA9-C3EE-4AD6C7E1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user" refreshedDate="45633.470079976854" createdVersion="7" refreshedVersion="8" minRefreshableVersion="3" recordCount="57" xr:uid="{FC0E6DB8-2D29-449C-9177-1A77E9689797}">
  <cacheSource type="worksheet">
    <worksheetSource name="Master_Data"/>
  </cacheSource>
  <cacheFields count="35">
    <cacheField name="Order of Study" numFmtId="3">
      <sharedItems containsSemiMixedTypes="0" containsString="0" containsNumber="1" containsInteger="1" minValue="1" maxValue="57"/>
    </cacheField>
    <cacheField name="Schedule" numFmtId="3">
      <sharedItems/>
    </cacheField>
    <cacheField name="Column1" numFmtId="3">
      <sharedItems containsSemiMixedTypes="0" containsString="0" containsNumber="1" containsInteger="1" minValue="5" maxValue="46"/>
    </cacheField>
    <cacheField name="Column2" numFmtId="3">
      <sharedItems containsMixedTypes="1" containsNumber="1" containsInteger="1" minValue="6" maxValue="46"/>
    </cacheField>
    <cacheField name="Cum. Undone hrs" numFmtId="169">
      <sharedItems containsSemiMixedTypes="0" containsNonDate="0" containsDate="1" containsString="0" minDate="1899-12-30T22:57:00" maxDate="1900-01-07T23:58:00"/>
    </cacheField>
    <cacheField name="Undone hrs" numFmtId="165">
      <sharedItems containsSemiMixedTypes="0" containsNonDate="0" containsDate="1" containsString="0" minDate="1899-12-30T00:27:00" maxDate="1899-12-30T22:57:00"/>
    </cacheField>
    <cacheField name="Subject" numFmtId="0">
      <sharedItems count="17">
        <s v="Quantitative Analysis"/>
        <s v="Foundation of Risk Mgmt"/>
        <s v="Financial Mkts &amp; Products"/>
        <s v="Valuation &amp; Risk Models"/>
        <s v="Basics" u="1"/>
        <s v="Portfolio" u="1"/>
        <s v="FRA" u="1"/>
        <s v="Quants" u="1"/>
        <s v="Derivatives" u="1"/>
        <s v="Equity" u="1"/>
        <s v="Fixed Income" u="1"/>
        <s v="Corp. Issuers" u="1"/>
        <s v="Alt. Invest." u="1"/>
        <s v="Alt. Investments" u="1"/>
        <s v="Corporate Issuers" u="1"/>
        <s v="Economics" u="1"/>
        <s v="Ethics" u="1"/>
      </sharedItems>
    </cacheField>
    <cacheField name="Reading" numFmtId="0">
      <sharedItems containsMixedTypes="1" containsNumber="1" containsInteger="1" minValue="1" maxValue="62"/>
    </cacheField>
    <cacheField name="Changes" numFmtId="0">
      <sharedItems/>
    </cacheField>
    <cacheField name="Topic" numFmtId="0">
      <sharedItems/>
    </cacheField>
    <cacheField name="No. of Chapters" numFmtId="0">
      <sharedItems containsSemiMixedTypes="0" containsString="0" containsNumber="1" containsInteger="1" minValue="1" maxValue="5"/>
    </cacheField>
    <cacheField name="No. of LOS" numFmtId="0">
      <sharedItems containsSemiMixedTypes="0" containsString="0" containsNumber="1" containsInteger="1" minValue="2" maxValue="37"/>
    </cacheField>
    <cacheField name="Lengthy" numFmtId="0">
      <sharedItems containsSemiMixedTypes="0" containsString="0" containsNumber="1" containsInteger="1" minValue="1" maxValue="5"/>
    </cacheField>
    <cacheField name="Numerical or Not" numFmtId="0">
      <sharedItems containsSemiMixedTypes="0" containsString="0" containsNumber="1" containsInteger="1" minValue="1" maxValue="5"/>
    </cacheField>
    <cacheField name="Diff. Level" numFmtId="0">
      <sharedItems containsSemiMixedTypes="0" containsString="0" containsNumber="1" containsInteger="1" minValue="2" maxValue="5"/>
    </cacheField>
    <cacheField name="Confusing" numFmtId="0">
      <sharedItems containsSemiMixedTypes="0" containsString="0" containsNumber="1" containsInteger="1" minValue="2" maxValue="5"/>
    </cacheField>
    <cacheField name="Imp. Level" numFmtId="0">
      <sharedItems containsSemiMixedTypes="0" containsString="0" containsNumber="1" containsInteger="1" minValue="2" maxValue="5"/>
    </cacheField>
    <cacheField name="Reqd. Prac." numFmtId="0">
      <sharedItems containsSemiMixedTypes="0" containsString="0" containsNumber="1" containsInteger="1" minValue="3" maxValue="5"/>
    </cacheField>
    <cacheField name="Duration (hh:mm)" numFmtId="169">
      <sharedItems containsSemiMixedTypes="0" containsNonDate="0" containsDate="1" containsString="0" minDate="1899-12-30T00:27:00" maxDate="1899-12-30T22:57:00" count="46">
        <d v="1899-12-30T22:57:00"/>
        <d v="1899-12-30T07:29:00"/>
        <d v="1899-12-30T01:47:00"/>
        <d v="1899-12-30T02:28:00"/>
        <d v="1899-12-30T02:21:00"/>
        <d v="1899-12-30T01:41:00"/>
        <d v="1899-12-30T02:05:00"/>
        <d v="1899-12-30T02:26:00"/>
        <d v="1899-12-30T09:31:00"/>
        <d v="1899-12-30T01:57:00"/>
        <d v="1899-12-30T04:53:00"/>
        <d v="1899-12-30T02:20:00"/>
        <d v="1899-12-30T01:48:00"/>
        <d v="1899-12-30T00:52:00"/>
        <d v="1899-12-30T19:29:00"/>
        <d v="1899-12-30T02:32:00"/>
        <d v="1899-12-30T00:27:00"/>
        <d v="1899-12-30T03:01:00"/>
        <d v="1899-12-30T04:02:00"/>
        <d v="1899-12-30T03:55:00"/>
        <d v="1899-12-30T02:06:00"/>
        <d v="1899-12-30T02:50:00"/>
        <d v="1899-12-30T01:28:00"/>
        <d v="1899-12-30T03:28:00"/>
        <d v="1899-12-30T03:46:00"/>
        <d v="1899-12-30T03:09:00"/>
        <d v="1899-12-30T03:44:00"/>
        <d v="1899-12-30T02:19:00"/>
        <d v="1899-12-30T00:55:00"/>
        <d v="1899-12-30T01:15:00"/>
        <d v="1899-12-30T01:43:00"/>
        <d v="1899-12-30T03:10:00"/>
        <d v="1899-12-30T11:29:00"/>
        <d v="1899-12-30T09:24:00"/>
        <d v="1899-12-30T01:49:00"/>
        <d v="1899-12-30T02:59:00"/>
        <d v="1899-12-30T04:58:00"/>
        <d v="1899-12-30T03:24:00"/>
        <d v="1899-12-30T05:16:00"/>
        <d v="1899-12-30T04:46:00"/>
        <d v="1899-12-30T02:12:00"/>
        <d v="1899-12-30T01:32:00"/>
        <d v="1899-12-30T02:54:00"/>
        <d v="1899-12-30T03:47:00"/>
        <d v="1899-12-30T02:04:00"/>
        <d v="1899-12-30T03:11:00"/>
      </sharedItems>
      <fieldGroup par="34" base="18">
        <rangePr groupBy="seconds" startDate="1899-12-30T00:27:00" endDate="1899-12-30T22:57: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Cum. (%)" numFmtId="3">
      <sharedItems containsSemiMixedTypes="0" containsString="0" containsNumber="1" minValue="10.626639913566912" maxValue="100"/>
    </cacheField>
    <cacheField name="Lectures" numFmtId="17">
      <sharedItems containsNonDate="0" count="2">
        <s v="U"/>
        <s v="D" u="1"/>
      </sharedItems>
    </cacheField>
    <cacheField name="Self Study" numFmtId="17">
      <sharedItems containsNonDate="0" count="2">
        <s v="U"/>
        <s v="D" u="1"/>
      </sharedItems>
    </cacheField>
    <cacheField name="Revision" numFmtId="17">
      <sharedItems containsNonDate="0" count="2">
        <s v="U"/>
        <s v="D" u="1"/>
      </sharedItems>
    </cacheField>
    <cacheField name="Prac. Book" numFmtId="17">
      <sharedItems containsNonDate="0"/>
    </cacheField>
    <cacheField name="GARP 10 Yr Papers" numFmtId="17">
      <sharedItems containsNonDate="0"/>
    </cacheField>
    <cacheField name="GARP EOC Ques." numFmtId="17">
      <sharedItems containsNonDate="0"/>
    </cacheField>
    <cacheField name="Confidence Level" numFmtId="0">
      <sharedItems containsSemiMixedTypes="0" containsString="0" containsNumber="1" containsInteger="1" minValue="2" maxValue="5"/>
    </cacheField>
    <cacheField name="Notes to Yourself" numFmtId="17">
      <sharedItems containsNonDate="0" containsString="0" containsBlank="1"/>
    </cacheField>
    <cacheField name="Total weights" numFmtId="9">
      <sharedItems containsSemiMixedTypes="0" containsString="0" containsNumber="1" minValue="9.0090090090090089E-3" maxValue="2.2522522522522521E-2"/>
    </cacheField>
    <cacheField name="Subjectwise weights" numFmtId="9">
      <sharedItems containsSemiMixedTypes="0" containsString="0" containsNumber="1" minValue="3.125E-2" maxValue="0.12820512820512819"/>
    </cacheField>
    <cacheField name="Subjectwise weighted average" numFmtId="4">
      <sharedItems containsSemiMixedTypes="0" containsString="0" containsNumber="1" minValue="6.25E-2" maxValue="0.30769230769230771"/>
    </cacheField>
    <cacheField name="Practice" numFmtId="0">
      <sharedItems count="3">
        <s v="U"/>
        <s v="D" u="1"/>
        <e v="#REF!" u="1"/>
      </sharedItems>
    </cacheField>
    <cacheField name="Extra Practice" numFmtId="17">
      <sharedItems containsNonDate="0" count="3">
        <s v="U"/>
        <s v="D" u="1"/>
        <e v="#REF!" u="1"/>
      </sharedItems>
    </cacheField>
    <cacheField name="Minutes" numFmtId="0" databaseField="0">
      <fieldGroup base="18">
        <rangePr groupBy="minutes" startDate="1899-12-30T00:27:00" endDate="1899-12-30T22:57: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Hours" numFmtId="0" databaseField="0">
      <fieldGroup base="18">
        <rangePr groupBy="hours" startDate="1899-12-30T00:27:00" endDate="1899-12-30T22:57:00"/>
        <groupItems count="26">
          <s v="&lt;00-01-1900"/>
          <s v="00"/>
          <s v="01"/>
          <s v="02"/>
          <s v="03"/>
          <s v="04"/>
          <s v="05"/>
          <s v="06"/>
          <s v="07"/>
          <s v="08"/>
          <s v="09"/>
          <s v="10"/>
          <s v="11"/>
          <s v="12"/>
          <s v="13"/>
          <s v="14"/>
          <s v="15"/>
          <s v="16"/>
          <s v="17"/>
          <s v="18"/>
          <s v="19"/>
          <s v="20"/>
          <s v="21"/>
          <s v="22"/>
          <s v="23"/>
          <s v="&gt;00-01-1900"/>
        </groupItems>
      </fieldGroup>
    </cacheField>
  </cacheFields>
  <extLst>
    <ext xmlns:x14="http://schemas.microsoft.com/office/spreadsheetml/2009/9/main" uri="{725AE2AE-9491-48be-B2B4-4EB974FC3084}">
      <x14:pivotCacheDefinition pivotCacheId="17235301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7">
  <r>
    <n v="1"/>
    <s v="Current Week"/>
    <n v="5"/>
    <e v="#VALUE!"/>
    <d v="1899-12-30T22:57:00"/>
    <d v="1899-12-30T22:57:00"/>
    <x v="0"/>
    <s v="12 to 16"/>
    <s v="Same"/>
    <s v="Probability and Statistics"/>
    <n v="5"/>
    <n v="37"/>
    <n v="3"/>
    <n v="5"/>
    <n v="4"/>
    <n v="4"/>
    <n v="4"/>
    <n v="4"/>
    <x v="0"/>
    <n v="10.626639913566912"/>
    <x v="0"/>
    <x v="0"/>
    <x v="0"/>
    <s v="U"/>
    <s v="U"/>
    <s v="U"/>
    <n v="2"/>
    <m/>
    <n v="1.8018018018018018E-2"/>
    <n v="0.10256410256410256"/>
    <n v="0.20512820512820512"/>
    <x v="0"/>
    <x v="0"/>
  </r>
  <r>
    <n v="2"/>
    <s v="Week 7"/>
    <n v="7"/>
    <n v="6"/>
    <d v="1899-12-31T06:26:00"/>
    <d v="1899-12-30T07:29:00"/>
    <x v="0"/>
    <n v="17"/>
    <s v="Same"/>
    <s v="Hypothesis Testing"/>
    <n v="1"/>
    <n v="8"/>
    <n v="4"/>
    <n v="5"/>
    <n v="5"/>
    <n v="5"/>
    <n v="4"/>
    <n v="4"/>
    <x v="1"/>
    <n v="14.091680814940583"/>
    <x v="0"/>
    <x v="0"/>
    <x v="0"/>
    <s v="U"/>
    <s v="U"/>
    <s v="U"/>
    <n v="2"/>
    <m/>
    <n v="1.8018018018018018E-2"/>
    <n v="0.10256410256410256"/>
    <n v="0.20512820512820512"/>
    <x v="0"/>
    <x v="0"/>
  </r>
  <r>
    <n v="3"/>
    <s v="Week 7"/>
    <n v="7"/>
    <n v="7"/>
    <d v="1899-12-31T08:13:00"/>
    <d v="1899-12-30T01:47:00"/>
    <x v="1"/>
    <n v="10"/>
    <s v="Same"/>
    <s v="Anatomy of the Great Financial Crisis of 2007-2009"/>
    <n v="1"/>
    <n v="6"/>
    <n v="2"/>
    <n v="1"/>
    <n v="4"/>
    <n v="4"/>
    <n v="4"/>
    <n v="4"/>
    <x v="2"/>
    <n v="14.917425528630968"/>
    <x v="0"/>
    <x v="0"/>
    <x v="0"/>
    <s v="U"/>
    <s v="U"/>
    <s v="U"/>
    <n v="2"/>
    <m/>
    <n v="1.8018018018018018E-2"/>
    <n v="0.10256410256410256"/>
    <n v="0.20512820512820512"/>
    <x v="0"/>
    <x v="0"/>
  </r>
  <r>
    <n v="4"/>
    <s v="Week 8"/>
    <n v="8"/>
    <n v="8"/>
    <d v="1899-12-31T10:41:00"/>
    <d v="1899-12-30T02:28:00"/>
    <x v="1"/>
    <n v="4"/>
    <s v="Same"/>
    <s v="Credit Risk Transfer Mechanisms"/>
    <n v="1"/>
    <n v="4"/>
    <n v="3"/>
    <n v="1"/>
    <n v="4"/>
    <n v="4"/>
    <n v="4"/>
    <n v="4"/>
    <x v="3"/>
    <n v="16.059577095230754"/>
    <x v="0"/>
    <x v="0"/>
    <x v="0"/>
    <s v="U"/>
    <s v="U"/>
    <s v="U"/>
    <n v="2"/>
    <m/>
    <n v="1.8018018018018018E-2"/>
    <n v="0.10256410256410256"/>
    <n v="0.20512820512820512"/>
    <x v="0"/>
    <x v="0"/>
  </r>
  <r>
    <n v="5"/>
    <s v="Week 8"/>
    <n v="8"/>
    <n v="8"/>
    <d v="1899-12-31T13:09:00"/>
    <d v="1899-12-30T02:28:00"/>
    <x v="0"/>
    <n v="18"/>
    <s v="Same"/>
    <s v="Linear Regression"/>
    <n v="1"/>
    <n v="8"/>
    <n v="3"/>
    <n v="5"/>
    <n v="4"/>
    <n v="4"/>
    <n v="3"/>
    <n v="4"/>
    <x v="3"/>
    <n v="17.20172866183054"/>
    <x v="0"/>
    <x v="0"/>
    <x v="0"/>
    <s v="U"/>
    <s v="U"/>
    <s v="U"/>
    <n v="3"/>
    <m/>
    <n v="1.3513513513513514E-2"/>
    <n v="7.6923076923076927E-2"/>
    <n v="0.23076923076923078"/>
    <x v="0"/>
    <x v="0"/>
  </r>
  <r>
    <n v="6"/>
    <s v="Week 9"/>
    <n v="9"/>
    <n v="9"/>
    <d v="1899-12-31T15:30:00"/>
    <d v="1899-12-30T02:21:00"/>
    <x v="0"/>
    <n v="19"/>
    <s v="Same"/>
    <s v="Regression with Multiple Explanatory Variables"/>
    <n v="1"/>
    <n v="5"/>
    <n v="4"/>
    <n v="4"/>
    <n v="4"/>
    <n v="4"/>
    <n v="4"/>
    <n v="4"/>
    <x v="4"/>
    <n v="18.289859546226278"/>
    <x v="0"/>
    <x v="0"/>
    <x v="0"/>
    <s v="U"/>
    <s v="U"/>
    <s v="U"/>
    <n v="3"/>
    <m/>
    <n v="1.8018018018018018E-2"/>
    <n v="0.10256410256410256"/>
    <n v="0.30769230769230771"/>
    <x v="0"/>
    <x v="0"/>
  </r>
  <r>
    <n v="7"/>
    <s v="Week 9"/>
    <n v="9"/>
    <n v="9"/>
    <d v="1899-12-31T17:11:00"/>
    <d v="1899-12-30T01:41:00"/>
    <x v="0"/>
    <n v="20"/>
    <s v="Same"/>
    <s v="Regression Diagnostics"/>
    <n v="1"/>
    <n v="8"/>
    <n v="3"/>
    <n v="4"/>
    <n v="5"/>
    <n v="5"/>
    <n v="4"/>
    <n v="4"/>
    <x v="5"/>
    <n v="19.069300818027486"/>
    <x v="0"/>
    <x v="0"/>
    <x v="0"/>
    <s v="U"/>
    <s v="U"/>
    <s v="U"/>
    <n v="2"/>
    <m/>
    <n v="1.8018018018018018E-2"/>
    <n v="0.10256410256410256"/>
    <n v="0.20512820512820512"/>
    <x v="0"/>
    <x v="0"/>
  </r>
  <r>
    <n v="8"/>
    <s v="Week 10"/>
    <n v="10"/>
    <n v="10"/>
    <d v="1899-12-31T19:16:00"/>
    <d v="1899-12-30T02:05:00"/>
    <x v="2"/>
    <n v="27"/>
    <s v="Same"/>
    <s v="Banks"/>
    <n v="1"/>
    <n v="8"/>
    <n v="2"/>
    <n v="1"/>
    <n v="3"/>
    <n v="3"/>
    <n v="3"/>
    <n v="4"/>
    <x v="6"/>
    <n v="20.033955857385411"/>
    <x v="0"/>
    <x v="0"/>
    <x v="0"/>
    <s v="U"/>
    <s v="U"/>
    <s v="U"/>
    <n v="2"/>
    <m/>
    <n v="1.3513513513513514E-2"/>
    <n v="3.7499999999999999E-2"/>
    <n v="7.4999999999999997E-2"/>
    <x v="0"/>
    <x v="0"/>
  </r>
  <r>
    <n v="9"/>
    <s v="Week 10"/>
    <n v="10"/>
    <n v="10"/>
    <d v="1899-12-31T21:42:00"/>
    <d v="1899-12-30T02:26:00"/>
    <x v="2"/>
    <n v="28"/>
    <s v="Same"/>
    <s v="Insurance Companies and Pension Plans"/>
    <n v="1"/>
    <n v="9"/>
    <n v="3"/>
    <n v="2"/>
    <n v="3"/>
    <n v="4"/>
    <n v="3"/>
    <n v="4"/>
    <x v="7"/>
    <n v="21.160672943355468"/>
    <x v="0"/>
    <x v="0"/>
    <x v="0"/>
    <s v="U"/>
    <s v="U"/>
    <s v="U"/>
    <n v="3"/>
    <m/>
    <n v="1.3513513513513514E-2"/>
    <n v="3.7499999999999999E-2"/>
    <n v="0.11249999999999999"/>
    <x v="0"/>
    <x v="0"/>
  </r>
  <r>
    <n v="10"/>
    <s v="Week 12"/>
    <n v="12"/>
    <n v="11"/>
    <d v="1900-01-01T07:13:00"/>
    <d v="1899-12-30T09:31:00"/>
    <x v="1"/>
    <n v="5"/>
    <s v="Same"/>
    <s v="Modern Portfolio Theory and the Capital Asset Pricing Model"/>
    <n v="1"/>
    <n v="7"/>
    <n v="4"/>
    <n v="4"/>
    <n v="4"/>
    <n v="4"/>
    <n v="5"/>
    <n v="4"/>
    <x v="8"/>
    <n v="25.567217163142473"/>
    <x v="0"/>
    <x v="0"/>
    <x v="0"/>
    <s v="U"/>
    <s v="U"/>
    <s v="U"/>
    <n v="2"/>
    <m/>
    <n v="2.2522522522522521E-2"/>
    <n v="0.12820512820512819"/>
    <n v="0.25641025641025639"/>
    <x v="0"/>
    <x v="0"/>
  </r>
  <r>
    <n v="11"/>
    <s v="Week 13"/>
    <n v="13"/>
    <n v="13"/>
    <d v="1900-01-01T09:10:00"/>
    <d v="1899-12-30T01:57:00"/>
    <x v="1"/>
    <n v="6"/>
    <s v="Same"/>
    <s v="The Arbitrage Pricing Theory and Multifactor Models of Risk and Return"/>
    <n v="1"/>
    <n v="5"/>
    <n v="3"/>
    <n v="4"/>
    <n v="4"/>
    <n v="5"/>
    <n v="4"/>
    <n v="4"/>
    <x v="9"/>
    <n v="26.47013427998149"/>
    <x v="0"/>
    <x v="0"/>
    <x v="0"/>
    <s v="U"/>
    <s v="U"/>
    <s v="U"/>
    <n v="3"/>
    <m/>
    <n v="1.8018018018018018E-2"/>
    <n v="0.10256410256410256"/>
    <n v="0.30769230769230771"/>
    <x v="0"/>
    <x v="0"/>
  </r>
  <r>
    <n v="12"/>
    <s v="Week 14"/>
    <n v="14"/>
    <n v="14"/>
    <d v="1900-01-01T14:03:00"/>
    <d v="1899-12-30T04:53:00"/>
    <x v="2"/>
    <n v="29"/>
    <s v="Same"/>
    <s v="Fund Management"/>
    <n v="1"/>
    <n v="7"/>
    <n v="3"/>
    <n v="2"/>
    <n v="3"/>
    <n v="4"/>
    <n v="3"/>
    <n v="4"/>
    <x v="10"/>
    <n v="28.731285692236462"/>
    <x v="0"/>
    <x v="0"/>
    <x v="0"/>
    <s v="U"/>
    <s v="U"/>
    <s v="U"/>
    <n v="3"/>
    <m/>
    <n v="1.3513513513513514E-2"/>
    <n v="3.7499999999999999E-2"/>
    <n v="0.11249999999999999"/>
    <x v="0"/>
    <x v="0"/>
  </r>
  <r>
    <n v="13"/>
    <s v="Week 14"/>
    <n v="14"/>
    <n v="14"/>
    <d v="1900-01-01T16:23:00"/>
    <d v="1899-12-30T02:20:00"/>
    <x v="0"/>
    <n v="21"/>
    <s v="Same"/>
    <s v="Stationary Time Series"/>
    <n v="1"/>
    <n v="14"/>
    <n v="3"/>
    <n v="3"/>
    <n v="5"/>
    <n v="5"/>
    <n v="4"/>
    <n v="4"/>
    <x v="11"/>
    <n v="29.811699336317343"/>
    <x v="0"/>
    <x v="0"/>
    <x v="0"/>
    <s v="U"/>
    <s v="U"/>
    <s v="U"/>
    <n v="3"/>
    <m/>
    <n v="1.8018018018018018E-2"/>
    <n v="0.10256410256410256"/>
    <n v="0.30769230769230771"/>
    <x v="0"/>
    <x v="0"/>
  </r>
  <r>
    <n v="14"/>
    <s v="Week 15"/>
    <n v="15"/>
    <n v="15"/>
    <d v="1900-01-01T18:11:00"/>
    <d v="1899-12-30T01:48:00"/>
    <x v="0"/>
    <n v="22"/>
    <s v="Same"/>
    <s v="Non-Stationary Time Series"/>
    <n v="1"/>
    <n v="7"/>
    <n v="3"/>
    <n v="4"/>
    <n v="5"/>
    <n v="5"/>
    <n v="4"/>
    <n v="4"/>
    <x v="12"/>
    <n v="30.645161290322591"/>
    <x v="0"/>
    <x v="0"/>
    <x v="0"/>
    <s v="U"/>
    <s v="U"/>
    <s v="U"/>
    <n v="2"/>
    <m/>
    <n v="1.8018018018018018E-2"/>
    <n v="0.10256410256410256"/>
    <n v="0.20512820512820512"/>
    <x v="0"/>
    <x v="0"/>
  </r>
  <r>
    <n v="15"/>
    <s v="Week 15"/>
    <n v="15"/>
    <n v="15"/>
    <d v="1900-01-01T20:37:00"/>
    <d v="1899-12-30T02:26:00"/>
    <x v="0"/>
    <n v="23"/>
    <s v="Same"/>
    <s v="Measuring Returns, Volatility, and Correlation"/>
    <n v="1"/>
    <n v="8"/>
    <n v="3"/>
    <n v="4"/>
    <n v="4"/>
    <n v="4"/>
    <n v="3"/>
    <n v="4"/>
    <x v="7"/>
    <n v="31.771878376292651"/>
    <x v="0"/>
    <x v="0"/>
    <x v="0"/>
    <s v="U"/>
    <s v="U"/>
    <s v="U"/>
    <n v="3"/>
    <m/>
    <n v="1.3513513513513514E-2"/>
    <n v="7.6923076923076927E-2"/>
    <n v="0.23076923076923078"/>
    <x v="0"/>
    <x v="0"/>
  </r>
  <r>
    <n v="16"/>
    <s v="Week 15"/>
    <n v="15"/>
    <n v="15"/>
    <d v="1900-01-01T21:29:00"/>
    <d v="1899-12-30T00:52:00"/>
    <x v="2"/>
    <n v="35"/>
    <s v="Same"/>
    <s v="Foreign Exchange Markets"/>
    <n v="1"/>
    <n v="12"/>
    <n v="3"/>
    <n v="3"/>
    <n v="4"/>
    <n v="5"/>
    <n v="4"/>
    <n v="4"/>
    <x v="13"/>
    <n v="32.173174872665541"/>
    <x v="0"/>
    <x v="0"/>
    <x v="0"/>
    <s v="U"/>
    <s v="U"/>
    <s v="U"/>
    <n v="2"/>
    <m/>
    <n v="1.8018018018018018E-2"/>
    <n v="0.05"/>
    <n v="0.1"/>
    <x v="0"/>
    <x v="0"/>
  </r>
  <r>
    <n v="17"/>
    <s v="Week 19"/>
    <n v="19"/>
    <n v="18"/>
    <d v="1900-01-02T16:58:00"/>
    <d v="1899-12-30T19:29:00"/>
    <x v="2"/>
    <n v="30"/>
    <s v="Same"/>
    <s v="Introduction to Derivatives"/>
    <n v="1"/>
    <n v="9"/>
    <n v="1"/>
    <n v="2"/>
    <n v="2"/>
    <n v="2"/>
    <n v="3"/>
    <n v="4"/>
    <x v="14"/>
    <n v="41.194628800740865"/>
    <x v="0"/>
    <x v="0"/>
    <x v="0"/>
    <s v="U"/>
    <s v="U"/>
    <s v="U"/>
    <n v="2"/>
    <m/>
    <n v="1.3513513513513514E-2"/>
    <n v="3.7499999999999999E-2"/>
    <n v="7.4999999999999997E-2"/>
    <x v="0"/>
    <x v="0"/>
  </r>
  <r>
    <n v="18"/>
    <s v="Week 20"/>
    <n v="20"/>
    <n v="20"/>
    <d v="1900-01-02T19:30:00"/>
    <d v="1899-12-30T02:32:00"/>
    <x v="2"/>
    <n v="38"/>
    <s v="Same"/>
    <s v="Options Markets"/>
    <n v="1"/>
    <n v="5"/>
    <n v="4"/>
    <n v="5"/>
    <n v="4"/>
    <n v="5"/>
    <n v="5"/>
    <n v="4"/>
    <x v="15"/>
    <n v="42.367649328600102"/>
    <x v="0"/>
    <x v="0"/>
    <x v="0"/>
    <s v="U"/>
    <s v="U"/>
    <s v="U"/>
    <n v="2"/>
    <m/>
    <n v="2.2522522522522521E-2"/>
    <n v="6.25E-2"/>
    <n v="0.125"/>
    <x v="0"/>
    <x v="0"/>
  </r>
  <r>
    <n v="19"/>
    <s v="Week 20"/>
    <n v="20"/>
    <n v="20"/>
    <d v="1900-01-02T19:57:00"/>
    <d v="1899-12-30T00:27:00"/>
    <x v="2"/>
    <n v="39"/>
    <s v="Same"/>
    <s v="Properties of Options"/>
    <n v="1"/>
    <n v="4"/>
    <n v="4"/>
    <n v="5"/>
    <n v="4"/>
    <n v="5"/>
    <n v="5"/>
    <n v="4"/>
    <x v="16"/>
    <n v="42.576014817101417"/>
    <x v="0"/>
    <x v="0"/>
    <x v="0"/>
    <s v="U"/>
    <s v="U"/>
    <s v="U"/>
    <n v="2"/>
    <m/>
    <n v="2.2522522522522521E-2"/>
    <n v="6.25E-2"/>
    <n v="0.125"/>
    <x v="0"/>
    <x v="0"/>
  </r>
  <r>
    <n v="20"/>
    <s v="Week 21"/>
    <n v="21"/>
    <n v="21"/>
    <d v="1900-01-02T22:58:00"/>
    <d v="1899-12-30T03:01:00"/>
    <x v="0"/>
    <n v="24"/>
    <s v="Changes"/>
    <s v="Simulation and Bootstrapping"/>
    <n v="1"/>
    <n v="7"/>
    <n v="3"/>
    <n v="1"/>
    <n v="4"/>
    <n v="5"/>
    <n v="3"/>
    <n v="4"/>
    <x v="17"/>
    <n v="43.972835314091697"/>
    <x v="0"/>
    <x v="0"/>
    <x v="0"/>
    <s v="U"/>
    <s v="U"/>
    <s v="U"/>
    <n v="2"/>
    <m/>
    <n v="1.3513513513513514E-2"/>
    <n v="7.6923076923076927E-2"/>
    <n v="0.15384615384615385"/>
    <x v="0"/>
    <x v="0"/>
  </r>
  <r>
    <n v="21"/>
    <s v="Week 22"/>
    <n v="22"/>
    <n v="22"/>
    <d v="1900-01-03T03:00:00"/>
    <d v="1899-12-30T04:02:00"/>
    <x v="0"/>
    <n v="25"/>
    <s v="Same"/>
    <s v="Machine Learning Methods"/>
    <n v="1"/>
    <n v="9"/>
    <n v="3"/>
    <n v="1"/>
    <n v="4"/>
    <n v="5"/>
    <n v="3"/>
    <n v="4"/>
    <x v="18"/>
    <n v="45.840407470288639"/>
    <x v="0"/>
    <x v="0"/>
    <x v="0"/>
    <s v="U"/>
    <s v="U"/>
    <s v="U"/>
    <n v="2"/>
    <m/>
    <n v="1.3513513513513514E-2"/>
    <n v="7.6923076923076927E-2"/>
    <n v="0.15384615384615385"/>
    <x v="0"/>
    <x v="0"/>
  </r>
  <r>
    <n v="22"/>
    <s v="Week 22"/>
    <n v="22"/>
    <n v="22"/>
    <d v="1900-01-03T06:55:00"/>
    <d v="1899-12-30T03:55:00"/>
    <x v="0"/>
    <n v="26"/>
    <s v="Same"/>
    <s v="Machine Learning and Prediction"/>
    <n v="1"/>
    <n v="9"/>
    <n v="3"/>
    <n v="1"/>
    <n v="4"/>
    <n v="5"/>
    <n v="3"/>
    <n v="4"/>
    <x v="19"/>
    <n v="47.653958944281541"/>
    <x v="0"/>
    <x v="0"/>
    <x v="0"/>
    <s v="U"/>
    <s v="U"/>
    <s v="U"/>
    <n v="2"/>
    <m/>
    <n v="1.3513513513513514E-2"/>
    <n v="7.6923076923076927E-2"/>
    <n v="0.15384615384615385"/>
    <x v="0"/>
    <x v="0"/>
  </r>
  <r>
    <n v="23"/>
    <s v="Week 23"/>
    <n v="23"/>
    <n v="23"/>
    <d v="1900-01-03T09:01:00"/>
    <d v="1899-12-30T02:06:00"/>
    <x v="2"/>
    <n v="36"/>
    <s v="Same"/>
    <s v="Pricing Financial Forwards and Futures"/>
    <n v="1"/>
    <n v="8"/>
    <n v="4"/>
    <n v="5"/>
    <n v="4"/>
    <n v="5"/>
    <n v="5"/>
    <n v="4"/>
    <x v="20"/>
    <n v="48.626331223954331"/>
    <x v="0"/>
    <x v="0"/>
    <x v="0"/>
    <s v="U"/>
    <s v="U"/>
    <s v="U"/>
    <n v="2"/>
    <m/>
    <n v="2.2522522522522521E-2"/>
    <n v="6.25E-2"/>
    <n v="0.125"/>
    <x v="0"/>
    <x v="0"/>
  </r>
  <r>
    <n v="24"/>
    <s v="Week 23"/>
    <n v="23"/>
    <n v="23"/>
    <d v="1900-01-03T11:51:00"/>
    <d v="1899-12-30T02:50:00"/>
    <x v="2"/>
    <n v="37"/>
    <s v="Same"/>
    <s v="Commodity Forwards and Futures"/>
    <n v="1"/>
    <n v="11"/>
    <n v="4"/>
    <n v="4"/>
    <n v="4"/>
    <n v="4"/>
    <n v="5"/>
    <n v="5"/>
    <x v="21"/>
    <n v="49.938262077481113"/>
    <x v="0"/>
    <x v="0"/>
    <x v="0"/>
    <s v="U"/>
    <s v="U"/>
    <s v="U"/>
    <n v="3"/>
    <m/>
    <n v="2.2522522522522521E-2"/>
    <n v="6.25E-2"/>
    <n v="0.1875"/>
    <x v="0"/>
    <x v="0"/>
  </r>
  <r>
    <n v="25"/>
    <s v="Week 24"/>
    <n v="24"/>
    <n v="24"/>
    <d v="1900-01-03T13:19:00"/>
    <d v="1899-12-30T01:28:00"/>
    <x v="2"/>
    <n v="33"/>
    <s v="Same"/>
    <s v="Futures Markets"/>
    <n v="1"/>
    <n v="8"/>
    <n v="3"/>
    <n v="3"/>
    <n v="3"/>
    <n v="4"/>
    <n v="4"/>
    <n v="4"/>
    <x v="22"/>
    <n v="50.617379225189083"/>
    <x v="0"/>
    <x v="0"/>
    <x v="0"/>
    <s v="U"/>
    <s v="U"/>
    <s v="U"/>
    <n v="3"/>
    <m/>
    <n v="1.8018018018018018E-2"/>
    <n v="0.05"/>
    <n v="0.15000000000000002"/>
    <x v="0"/>
    <x v="0"/>
  </r>
  <r>
    <n v="26"/>
    <s v="Week 24"/>
    <n v="24"/>
    <n v="24"/>
    <d v="1900-01-03T16:47:00"/>
    <d v="1899-12-30T03:28:00"/>
    <x v="2"/>
    <n v="34"/>
    <s v="Same"/>
    <s v="Using Futures for Hedging"/>
    <n v="1"/>
    <n v="8"/>
    <n v="3"/>
    <n v="4"/>
    <n v="4"/>
    <n v="4"/>
    <n v="5"/>
    <n v="5"/>
    <x v="23"/>
    <n v="52.222565210680685"/>
    <x v="0"/>
    <x v="0"/>
    <x v="0"/>
    <s v="U"/>
    <s v="U"/>
    <s v="U"/>
    <n v="3"/>
    <m/>
    <n v="2.2522522522522521E-2"/>
    <n v="6.25E-2"/>
    <n v="0.1875"/>
    <x v="0"/>
    <x v="0"/>
  </r>
  <r>
    <n v="27"/>
    <s v="Week 25"/>
    <n v="25"/>
    <n v="25"/>
    <d v="1900-01-03T20:33:00"/>
    <d v="1899-12-30T03:46:00"/>
    <x v="2"/>
    <n v="31"/>
    <s v="Same"/>
    <s v="Exchanges and OTC Markets"/>
    <n v="1"/>
    <n v="9"/>
    <n v="3"/>
    <n v="3"/>
    <n v="3"/>
    <n v="4"/>
    <n v="4"/>
    <n v="4"/>
    <x v="24"/>
    <n v="53.966661521839811"/>
    <x v="0"/>
    <x v="0"/>
    <x v="0"/>
    <s v="U"/>
    <s v="U"/>
    <s v="U"/>
    <n v="4"/>
    <m/>
    <n v="1.8018018018018018E-2"/>
    <n v="0.05"/>
    <n v="0.2"/>
    <x v="0"/>
    <x v="0"/>
  </r>
  <r>
    <n v="28"/>
    <s v="Week 26"/>
    <n v="26"/>
    <n v="26"/>
    <d v="1900-01-03T22:54:00"/>
    <d v="1899-12-30T02:21:00"/>
    <x v="2"/>
    <n v="32"/>
    <s v="Same"/>
    <s v="Central Clearing"/>
    <n v="1"/>
    <n v="9"/>
    <n v="2"/>
    <n v="1"/>
    <n v="3"/>
    <n v="4"/>
    <n v="3"/>
    <n v="4"/>
    <x v="4"/>
    <n v="55.054792406235542"/>
    <x v="0"/>
    <x v="0"/>
    <x v="0"/>
    <s v="U"/>
    <s v="U"/>
    <s v="U"/>
    <n v="5"/>
    <m/>
    <n v="1.3513513513513514E-2"/>
    <n v="3.7499999999999999E-2"/>
    <n v="0.1875"/>
    <x v="0"/>
    <x v="0"/>
  </r>
  <r>
    <n v="29"/>
    <s v="Week 26"/>
    <n v="26"/>
    <n v="26"/>
    <d v="1900-01-04T02:03:00"/>
    <d v="1899-12-30T03:09:00"/>
    <x v="2"/>
    <n v="40"/>
    <s v="Same"/>
    <s v="Trading Strategies"/>
    <n v="1"/>
    <n v="4"/>
    <n v="4"/>
    <n v="5"/>
    <n v="4"/>
    <n v="5"/>
    <n v="4"/>
    <n v="4"/>
    <x v="25"/>
    <n v="56.513350825744723"/>
    <x v="0"/>
    <x v="0"/>
    <x v="0"/>
    <s v="U"/>
    <s v="U"/>
    <s v="U"/>
    <n v="2"/>
    <m/>
    <n v="1.8018018018018018E-2"/>
    <n v="0.05"/>
    <n v="0.1"/>
    <x v="0"/>
    <x v="0"/>
  </r>
  <r>
    <n v="30"/>
    <s v="Week 27"/>
    <n v="27"/>
    <n v="27"/>
    <d v="1900-01-04T03:50:00"/>
    <d v="1899-12-30T01:47:00"/>
    <x v="3"/>
    <n v="60"/>
    <s v="Same"/>
    <s v="Binomial Trees"/>
    <n v="1"/>
    <n v="5"/>
    <n v="3"/>
    <n v="5"/>
    <n v="4"/>
    <n v="5"/>
    <n v="5"/>
    <n v="4"/>
    <x v="2"/>
    <n v="57.339095539435107"/>
    <x v="0"/>
    <x v="0"/>
    <x v="0"/>
    <s v="U"/>
    <s v="U"/>
    <s v="U"/>
    <n v="2"/>
    <m/>
    <n v="2.2522522522522521E-2"/>
    <n v="7.8125E-2"/>
    <n v="0.15625"/>
    <x v="0"/>
    <x v="0"/>
  </r>
  <r>
    <n v="31"/>
    <s v="Week 27"/>
    <n v="27"/>
    <n v="27"/>
    <d v="1900-01-04T06:22:00"/>
    <d v="1899-12-30T02:32:00"/>
    <x v="3"/>
    <n v="61"/>
    <s v="Same"/>
    <s v="The Black Scholes Merton Model"/>
    <n v="1"/>
    <n v="8"/>
    <n v="3"/>
    <n v="5"/>
    <n v="5"/>
    <n v="5"/>
    <n v="5"/>
    <n v="4"/>
    <x v="15"/>
    <n v="58.512116067294343"/>
    <x v="0"/>
    <x v="0"/>
    <x v="0"/>
    <s v="U"/>
    <s v="U"/>
    <s v="U"/>
    <n v="2"/>
    <m/>
    <n v="2.2522522522522521E-2"/>
    <n v="7.8125E-2"/>
    <n v="0.15625"/>
    <x v="0"/>
    <x v="0"/>
  </r>
  <r>
    <n v="32"/>
    <s v="Week 28"/>
    <n v="28"/>
    <n v="28"/>
    <d v="1900-01-04T10:06:00"/>
    <d v="1899-12-30T03:44:00"/>
    <x v="3"/>
    <n v="62"/>
    <s v="Same"/>
    <s v="Option Sensitivity Measures-The Greeks"/>
    <n v="1"/>
    <n v="9"/>
    <n v="4"/>
    <n v="3"/>
    <n v="5"/>
    <n v="5"/>
    <n v="5"/>
    <n v="5"/>
    <x v="26"/>
    <n v="60.240777897823747"/>
    <x v="0"/>
    <x v="0"/>
    <x v="0"/>
    <s v="U"/>
    <s v="U"/>
    <s v="U"/>
    <n v="3"/>
    <m/>
    <n v="2.2522522522522521E-2"/>
    <n v="7.8125E-2"/>
    <n v="0.234375"/>
    <x v="0"/>
    <x v="0"/>
  </r>
  <r>
    <n v="33"/>
    <s v="Week 29"/>
    <n v="29"/>
    <n v="29"/>
    <d v="1900-01-04T12:25:00"/>
    <d v="1899-12-30T02:19:00"/>
    <x v="2"/>
    <n v="41"/>
    <s v="Same"/>
    <s v="Exotic Options"/>
    <n v="1"/>
    <n v="7"/>
    <n v="4"/>
    <n v="3"/>
    <n v="5"/>
    <n v="5"/>
    <n v="3"/>
    <n v="4"/>
    <x v="27"/>
    <n v="61.313474301589764"/>
    <x v="0"/>
    <x v="0"/>
    <x v="0"/>
    <s v="U"/>
    <s v="U"/>
    <s v="U"/>
    <n v="2"/>
    <m/>
    <n v="1.3513513513513514E-2"/>
    <n v="3.7499999999999999E-2"/>
    <n v="7.4999999999999997E-2"/>
    <x v="0"/>
    <x v="0"/>
  </r>
  <r>
    <n v="34"/>
    <s v="Week 29"/>
    <n v="29"/>
    <n v="29"/>
    <d v="1900-01-04T13:20:00"/>
    <d v="1899-12-30T00:55:00"/>
    <x v="1"/>
    <n v="11"/>
    <s v="Same"/>
    <s v="GARP Code of Conduct"/>
    <n v="1"/>
    <n v="2"/>
    <n v="2"/>
    <n v="1"/>
    <n v="2"/>
    <n v="3"/>
    <n v="4"/>
    <n v="4"/>
    <x v="28"/>
    <n v="61.737922518907254"/>
    <x v="0"/>
    <x v="0"/>
    <x v="0"/>
    <s v="U"/>
    <s v="U"/>
    <s v="U"/>
    <n v="3"/>
    <m/>
    <n v="1.8018018018018018E-2"/>
    <n v="0.10256410256410256"/>
    <n v="0.30769230769230771"/>
    <x v="0"/>
    <x v="0"/>
  </r>
  <r>
    <n v="35"/>
    <s v="Week 29"/>
    <n v="29"/>
    <n v="29"/>
    <d v="1900-01-04T14:35:00"/>
    <d v="1899-12-30T01:15:00"/>
    <x v="1"/>
    <n v="7"/>
    <s v="Same"/>
    <s v="Principles for Effective Data Aggregation and Risk Reporting"/>
    <n v="1"/>
    <n v="4"/>
    <n v="2"/>
    <n v="1"/>
    <n v="2"/>
    <n v="4"/>
    <n v="2"/>
    <n v="3"/>
    <x v="29"/>
    <n v="62.316715542522005"/>
    <x v="0"/>
    <x v="0"/>
    <x v="0"/>
    <s v="U"/>
    <s v="U"/>
    <s v="U"/>
    <n v="3"/>
    <m/>
    <n v="9.0090090090090089E-3"/>
    <n v="5.128205128205128E-2"/>
    <n v="0.15384615384615385"/>
    <x v="0"/>
    <x v="0"/>
  </r>
  <r>
    <n v="36"/>
    <s v="Week 29"/>
    <n v="29"/>
    <n v="29"/>
    <d v="1900-01-04T16:18:00"/>
    <d v="1899-12-30T01:43:00"/>
    <x v="2"/>
    <n v="42"/>
    <s v="Same"/>
    <s v="Properties of Interest Rates"/>
    <n v="1"/>
    <n v="11"/>
    <n v="3"/>
    <n v="4"/>
    <n v="4"/>
    <n v="5"/>
    <n v="5"/>
    <n v="4"/>
    <x v="30"/>
    <n v="63.111591294952937"/>
    <x v="0"/>
    <x v="0"/>
    <x v="0"/>
    <s v="U"/>
    <s v="U"/>
    <s v="U"/>
    <n v="3"/>
    <m/>
    <n v="2.2522522522522521E-2"/>
    <n v="6.25E-2"/>
    <n v="0.1875"/>
    <x v="0"/>
    <x v="0"/>
  </r>
  <r>
    <n v="37"/>
    <s v="Week 30"/>
    <n v="30"/>
    <n v="30"/>
    <d v="1900-01-04T19:28:00"/>
    <d v="1899-12-30T03:10:00"/>
    <x v="3"/>
    <n v="56"/>
    <s v="Same"/>
    <s v="Interest Rates"/>
    <n v="1"/>
    <n v="8"/>
    <n v="4"/>
    <n v="4"/>
    <n v="4"/>
    <n v="4"/>
    <n v="5"/>
    <n v="4"/>
    <x v="31"/>
    <n v="64.577866954776979"/>
    <x v="0"/>
    <x v="0"/>
    <x v="0"/>
    <s v="U"/>
    <s v="U"/>
    <s v="U"/>
    <n v="2"/>
    <m/>
    <n v="2.2522522522522521E-2"/>
    <n v="7.8125E-2"/>
    <n v="0.15625"/>
    <x v="0"/>
    <x v="0"/>
  </r>
  <r>
    <n v="38"/>
    <s v="Week 33"/>
    <n v="33"/>
    <n v="32"/>
    <d v="1900-01-05T06:57:00"/>
    <d v="1899-12-30T11:29:00"/>
    <x v="3"/>
    <s v="55 to 57"/>
    <s v="Same"/>
    <s v="Fixed Income"/>
    <n v="3"/>
    <n v="24"/>
    <n v="4"/>
    <n v="4"/>
    <n v="4"/>
    <n v="4"/>
    <n v="5"/>
    <n v="4"/>
    <x v="32"/>
    <n v="69.895045531717869"/>
    <x v="0"/>
    <x v="0"/>
    <x v="0"/>
    <s v="U"/>
    <s v="U"/>
    <s v="U"/>
    <n v="2"/>
    <m/>
    <n v="2.2522522522522521E-2"/>
    <n v="7.8125E-2"/>
    <n v="0.15625"/>
    <x v="0"/>
    <x v="0"/>
  </r>
  <r>
    <n v="39"/>
    <s v="Week 35"/>
    <n v="35"/>
    <n v="34"/>
    <d v="1900-01-05T16:21:00"/>
    <d v="1899-12-30T09:24:00"/>
    <x v="3"/>
    <n v="58"/>
    <s v="Same"/>
    <s v="Applying Duration, Convexity, and DV01"/>
    <n v="1"/>
    <n v="9"/>
    <n v="5"/>
    <n v="4"/>
    <n v="5"/>
    <n v="5"/>
    <n v="5"/>
    <n v="4"/>
    <x v="33"/>
    <n v="74.247569069300837"/>
    <x v="0"/>
    <x v="0"/>
    <x v="0"/>
    <s v="U"/>
    <s v="U"/>
    <s v="U"/>
    <n v="2"/>
    <m/>
    <n v="2.2522522522522521E-2"/>
    <n v="7.8125E-2"/>
    <n v="0.15625"/>
    <x v="0"/>
    <x v="0"/>
  </r>
  <r>
    <n v="40"/>
    <s v="Week 35"/>
    <n v="35"/>
    <n v="35"/>
    <d v="1900-01-05T18:10:00"/>
    <d v="1899-12-30T01:49:00"/>
    <x v="3"/>
    <n v="59"/>
    <s v="Same"/>
    <s v="Modeling Non Parallel Term Structure Shifts and Hedging"/>
    <n v="1"/>
    <n v="7"/>
    <n v="3"/>
    <n v="2"/>
    <n v="5"/>
    <n v="5"/>
    <n v="3"/>
    <n v="4"/>
    <x v="34"/>
    <n v="75.088748263620943"/>
    <x v="0"/>
    <x v="0"/>
    <x v="0"/>
    <s v="U"/>
    <s v="U"/>
    <s v="U"/>
    <n v="2"/>
    <m/>
    <n v="1.3513513513513514E-2"/>
    <n v="4.6875E-2"/>
    <n v="9.375E-2"/>
    <x v="0"/>
    <x v="0"/>
  </r>
  <r>
    <n v="41"/>
    <s v="Week 36"/>
    <n v="36"/>
    <n v="36"/>
    <d v="1900-01-05T21:09:00"/>
    <d v="1899-12-30T02:59:00"/>
    <x v="2"/>
    <n v="43"/>
    <s v="Same"/>
    <s v="Corporate Bonds"/>
    <n v="1"/>
    <n v="9"/>
    <n v="3"/>
    <n v="2"/>
    <n v="3"/>
    <n v="3"/>
    <n v="3"/>
    <n v="4"/>
    <x v="35"/>
    <n v="76.470134279981494"/>
    <x v="0"/>
    <x v="0"/>
    <x v="0"/>
    <s v="U"/>
    <s v="U"/>
    <s v="U"/>
    <n v="2"/>
    <m/>
    <n v="1.3513513513513514E-2"/>
    <n v="3.7499999999999999E-2"/>
    <n v="7.4999999999999997E-2"/>
    <x v="0"/>
    <x v="0"/>
  </r>
  <r>
    <n v="42"/>
    <s v="Week 37"/>
    <n v="37"/>
    <n v="37"/>
    <d v="1900-01-06T02:07:00"/>
    <d v="1899-12-30T04:58:00"/>
    <x v="2"/>
    <n v="44"/>
    <s v="Same"/>
    <s v="Mortgages and Mortgage-Backed Securities"/>
    <n v="1"/>
    <n v="10"/>
    <n v="4"/>
    <n v="3"/>
    <n v="5"/>
    <n v="5"/>
    <n v="4"/>
    <n v="4"/>
    <x v="36"/>
    <n v="78.769871893810802"/>
    <x v="0"/>
    <x v="0"/>
    <x v="0"/>
    <s v="U"/>
    <s v="U"/>
    <s v="U"/>
    <n v="3"/>
    <m/>
    <n v="1.8018018018018018E-2"/>
    <n v="0.05"/>
    <n v="0.15000000000000002"/>
    <x v="0"/>
    <x v="0"/>
  </r>
  <r>
    <n v="43"/>
    <s v="Week 37"/>
    <n v="37"/>
    <n v="37"/>
    <d v="1900-01-06T05:31:00"/>
    <d v="1899-12-30T03:24:00"/>
    <x v="2"/>
    <n v="45"/>
    <s v="Same"/>
    <s v="Interest Rate Futures"/>
    <n v="1"/>
    <n v="11"/>
    <n v="4"/>
    <n v="4"/>
    <n v="4"/>
    <n v="5"/>
    <n v="5"/>
    <n v="5"/>
    <x v="37"/>
    <n v="80.344188918042931"/>
    <x v="0"/>
    <x v="0"/>
    <x v="0"/>
    <s v="U"/>
    <s v="U"/>
    <s v="U"/>
    <n v="2"/>
    <m/>
    <n v="2.2522522522522521E-2"/>
    <n v="6.25E-2"/>
    <n v="0.125"/>
    <x v="0"/>
    <x v="0"/>
  </r>
  <r>
    <n v="44"/>
    <s v="Week 38"/>
    <n v="38"/>
    <n v="38"/>
    <d v="1900-01-06T09:26:00"/>
    <d v="1899-12-30T03:55:00"/>
    <x v="2"/>
    <n v="46"/>
    <s v="Same"/>
    <s v="Swaps"/>
    <n v="1"/>
    <n v="13"/>
    <n v="4"/>
    <n v="5"/>
    <n v="5"/>
    <n v="5"/>
    <n v="4"/>
    <n v="5"/>
    <x v="19"/>
    <n v="82.157740392035834"/>
    <x v="0"/>
    <x v="0"/>
    <x v="0"/>
    <s v="U"/>
    <s v="U"/>
    <s v="U"/>
    <n v="2"/>
    <m/>
    <n v="1.8018018018018018E-2"/>
    <n v="0.05"/>
    <n v="0.1"/>
    <x v="0"/>
    <x v="0"/>
  </r>
  <r>
    <n v="45"/>
    <s v="Week 39"/>
    <n v="39"/>
    <n v="39"/>
    <d v="1900-01-06T12:27:00"/>
    <d v="1899-12-30T03:01:00"/>
    <x v="3"/>
    <n v="51"/>
    <s v="Same"/>
    <s v="Country Risk-Determinants, Measures, and Implications"/>
    <n v="1"/>
    <n v="6"/>
    <n v="2"/>
    <n v="1"/>
    <n v="2"/>
    <n v="2"/>
    <n v="2"/>
    <n v="3"/>
    <x v="17"/>
    <n v="83.554560889026106"/>
    <x v="0"/>
    <x v="0"/>
    <x v="0"/>
    <s v="U"/>
    <s v="U"/>
    <s v="U"/>
    <n v="2"/>
    <m/>
    <n v="9.0090090090090089E-3"/>
    <n v="3.125E-2"/>
    <n v="6.25E-2"/>
    <x v="0"/>
    <x v="0"/>
  </r>
  <r>
    <n v="46"/>
    <s v="Week 40"/>
    <n v="40"/>
    <n v="40"/>
    <d v="1900-01-06T17:43:00"/>
    <d v="1899-12-30T05:16:00"/>
    <x v="3"/>
    <n v="50"/>
    <s v="Same"/>
    <s v="External and Internal Credit Ratings"/>
    <n v="1"/>
    <n v="10"/>
    <n v="4"/>
    <n v="3"/>
    <n v="4"/>
    <n v="4"/>
    <n v="4"/>
    <n v="4"/>
    <x v="38"/>
    <n v="85.993208828522938"/>
    <x v="0"/>
    <x v="0"/>
    <x v="0"/>
    <s v="U"/>
    <s v="U"/>
    <s v="U"/>
    <n v="3"/>
    <m/>
    <n v="1.8018018018018018E-2"/>
    <n v="6.25E-2"/>
    <n v="0.1875"/>
    <x v="0"/>
    <x v="0"/>
  </r>
  <r>
    <n v="47"/>
    <s v="Week 41"/>
    <n v="41"/>
    <n v="41"/>
    <d v="1900-01-06T22:29:00"/>
    <d v="1899-12-30T04:46:00"/>
    <x v="1"/>
    <n v="1"/>
    <s v="Same"/>
    <s v="The Building Blocks of Risk Management"/>
    <n v="1"/>
    <n v="6"/>
    <n v="4"/>
    <n v="2"/>
    <n v="3"/>
    <n v="3"/>
    <n v="3"/>
    <n v="3"/>
    <x v="39"/>
    <n v="88.200339558573887"/>
    <x v="0"/>
    <x v="0"/>
    <x v="0"/>
    <s v="U"/>
    <s v="U"/>
    <s v="U"/>
    <n v="3"/>
    <m/>
    <n v="1.3513513513513514E-2"/>
    <n v="7.6923076923076927E-2"/>
    <n v="0.23076923076923078"/>
    <x v="0"/>
    <x v="0"/>
  </r>
  <r>
    <n v="48"/>
    <s v="Week 41"/>
    <n v="41"/>
    <n v="41"/>
    <d v="1900-01-06T23:24:00"/>
    <d v="1899-12-30T00:55:00"/>
    <x v="3"/>
    <n v="47"/>
    <s v="Same"/>
    <s v="Measures of Financial Risk"/>
    <n v="1"/>
    <n v="6"/>
    <n v="3"/>
    <n v="3"/>
    <n v="4"/>
    <n v="5"/>
    <n v="4"/>
    <n v="4"/>
    <x v="28"/>
    <n v="88.624787775891363"/>
    <x v="0"/>
    <x v="0"/>
    <x v="0"/>
    <s v="U"/>
    <s v="U"/>
    <s v="U"/>
    <n v="3"/>
    <m/>
    <n v="1.8018018018018018E-2"/>
    <n v="6.25E-2"/>
    <n v="0.1875"/>
    <x v="0"/>
    <x v="0"/>
  </r>
  <r>
    <n v="49"/>
    <s v="Week 42"/>
    <n v="42"/>
    <n v="42"/>
    <d v="1900-01-07T02:14:00"/>
    <d v="1899-12-30T02:50:00"/>
    <x v="3"/>
    <n v="48"/>
    <s v="Same"/>
    <s v="Calculating and Applying VaR"/>
    <n v="1"/>
    <n v="8"/>
    <n v="3"/>
    <n v="3"/>
    <n v="4"/>
    <n v="4"/>
    <n v="5"/>
    <n v="5"/>
    <x v="21"/>
    <n v="89.936718629418138"/>
    <x v="0"/>
    <x v="0"/>
    <x v="0"/>
    <s v="U"/>
    <s v="U"/>
    <s v="U"/>
    <n v="2"/>
    <m/>
    <n v="2.2522522522522521E-2"/>
    <n v="7.8125E-2"/>
    <n v="0.15625"/>
    <x v="0"/>
    <x v="0"/>
  </r>
  <r>
    <n v="50"/>
    <s v="Week 42"/>
    <n v="42"/>
    <n v="42"/>
    <d v="1900-01-07T04:26:00"/>
    <d v="1899-12-30T02:12:00"/>
    <x v="3"/>
    <n v="49"/>
    <s v="Same"/>
    <s v="Measuring and Monitoring Volatility"/>
    <n v="1"/>
    <n v="9"/>
    <n v="4"/>
    <n v="3"/>
    <n v="5"/>
    <n v="5"/>
    <n v="5"/>
    <n v="5"/>
    <x v="40"/>
    <n v="90.955394350980114"/>
    <x v="0"/>
    <x v="0"/>
    <x v="0"/>
    <s v="U"/>
    <s v="U"/>
    <s v="U"/>
    <n v="2"/>
    <m/>
    <n v="2.2522522522522521E-2"/>
    <n v="7.8125E-2"/>
    <n v="0.15625"/>
    <x v="0"/>
    <x v="0"/>
  </r>
  <r>
    <n v="51"/>
    <s v="Week 43"/>
    <n v="43"/>
    <n v="43"/>
    <d v="1900-01-07T05:58:00"/>
    <d v="1899-12-30T01:32:00"/>
    <x v="3"/>
    <n v="54"/>
    <s v="Same"/>
    <s v="Stress Testing"/>
    <n v="1"/>
    <n v="8"/>
    <n v="2"/>
    <n v="1"/>
    <n v="3"/>
    <n v="3"/>
    <n v="3"/>
    <n v="3"/>
    <x v="41"/>
    <n v="91.665380459947542"/>
    <x v="0"/>
    <x v="0"/>
    <x v="0"/>
    <s v="U"/>
    <s v="U"/>
    <s v="U"/>
    <n v="3"/>
    <m/>
    <n v="1.3513513513513514E-2"/>
    <n v="4.6875E-2"/>
    <n v="0.140625"/>
    <x v="0"/>
    <x v="0"/>
  </r>
  <r>
    <n v="52"/>
    <s v="Week 43"/>
    <n v="43"/>
    <n v="43"/>
    <d v="1900-01-07T08:52:00"/>
    <d v="1899-12-30T02:54:00"/>
    <x v="3"/>
    <n v="52"/>
    <s v="Same"/>
    <s v="Measuring Credit Risk"/>
    <n v="1"/>
    <n v="11"/>
    <n v="3"/>
    <n v="3"/>
    <n v="4"/>
    <n v="4"/>
    <n v="4"/>
    <n v="4"/>
    <x v="42"/>
    <n v="93.008180274733775"/>
    <x v="0"/>
    <x v="0"/>
    <x v="0"/>
    <s v="U"/>
    <s v="U"/>
    <s v="U"/>
    <n v="3"/>
    <m/>
    <n v="1.8018018018018018E-2"/>
    <n v="6.25E-2"/>
    <n v="0.1875"/>
    <x v="0"/>
    <x v="0"/>
  </r>
  <r>
    <n v="53"/>
    <s v="Week 44"/>
    <n v="44"/>
    <n v="44"/>
    <d v="1900-01-07T12:39:00"/>
    <d v="1899-12-30T03:47:00"/>
    <x v="3"/>
    <n v="53"/>
    <s v="Same"/>
    <s v="Operational Risk"/>
    <n v="1"/>
    <n v="10"/>
    <n v="5"/>
    <n v="2"/>
    <n v="3"/>
    <n v="4"/>
    <n v="4"/>
    <n v="4"/>
    <x v="43"/>
    <n v="94.759993826207761"/>
    <x v="0"/>
    <x v="0"/>
    <x v="0"/>
    <s v="U"/>
    <s v="U"/>
    <s v="U"/>
    <n v="3"/>
    <m/>
    <n v="1.8018018018018018E-2"/>
    <n v="6.25E-2"/>
    <n v="0.1875"/>
    <x v="0"/>
    <x v="0"/>
  </r>
  <r>
    <n v="54"/>
    <s v="Week 44"/>
    <n v="44"/>
    <n v="44"/>
    <d v="1900-01-07T14:59:00"/>
    <d v="1899-12-30T02:20:00"/>
    <x v="1"/>
    <n v="9"/>
    <s v="Same"/>
    <s v="Learning from Financial Disasters"/>
    <n v="1"/>
    <n v="10"/>
    <n v="3"/>
    <n v="1"/>
    <n v="4"/>
    <n v="4"/>
    <n v="4"/>
    <n v="5"/>
    <x v="11"/>
    <n v="95.840407470288625"/>
    <x v="0"/>
    <x v="0"/>
    <x v="0"/>
    <s v="U"/>
    <s v="U"/>
    <s v="U"/>
    <n v="3"/>
    <m/>
    <n v="1.8018018018018018E-2"/>
    <n v="0.10256410256410256"/>
    <n v="0.30769230769230771"/>
    <x v="0"/>
    <x v="0"/>
  </r>
  <r>
    <n v="55"/>
    <s v="Week 45"/>
    <n v="45"/>
    <n v="45"/>
    <d v="1900-01-07T18:43:00"/>
    <d v="1899-12-30T03:44:00"/>
    <x v="1"/>
    <n v="8"/>
    <s v="Same"/>
    <s v="Enterprise Risk Management and Future Trends"/>
    <n v="1"/>
    <n v="6"/>
    <n v="3"/>
    <n v="1"/>
    <n v="2"/>
    <n v="2"/>
    <n v="3"/>
    <n v="3"/>
    <x v="26"/>
    <n v="97.569069300818029"/>
    <x v="0"/>
    <x v="0"/>
    <x v="0"/>
    <s v="U"/>
    <s v="U"/>
    <s v="U"/>
    <n v="3"/>
    <m/>
    <n v="1.3513513513513514E-2"/>
    <n v="7.6923076923076927E-2"/>
    <n v="0.23076923076923078"/>
    <x v="0"/>
    <x v="0"/>
  </r>
  <r>
    <n v="56"/>
    <s v="Week 46"/>
    <n v="46"/>
    <n v="46"/>
    <d v="1900-01-07T23:58:00"/>
    <d v="1899-12-30T02:04:00"/>
    <x v="1"/>
    <n v="3"/>
    <s v="Same"/>
    <s v="The Governance of Risk Management"/>
    <n v="1"/>
    <n v="6"/>
    <n v="3"/>
    <n v="1"/>
    <n v="2"/>
    <n v="3"/>
    <n v="3"/>
    <n v="3"/>
    <x v="44"/>
    <n v="98.526007099861076"/>
    <x v="0"/>
    <x v="0"/>
    <x v="0"/>
    <s v="U"/>
    <s v="U"/>
    <s v="U"/>
    <n v="2"/>
    <m/>
    <n v="1.3513513513513514E-2"/>
    <n v="7.6923076923076927E-2"/>
    <n v="0.15384615384615385"/>
    <x v="0"/>
    <x v="0"/>
  </r>
  <r>
    <n v="57"/>
    <s v="Week 46"/>
    <n v="46"/>
    <n v="46"/>
    <d v="1900-01-07T23:58:00"/>
    <d v="1899-12-30T03:11:00"/>
    <x v="1"/>
    <n v="2"/>
    <s v="Same"/>
    <s v="How Do Firms Manage Financial Risk"/>
    <n v="1"/>
    <n v="5"/>
    <n v="3"/>
    <n v="1"/>
    <n v="3"/>
    <n v="3"/>
    <n v="3"/>
    <n v="3"/>
    <x v="45"/>
    <n v="100"/>
    <x v="0"/>
    <x v="0"/>
    <x v="0"/>
    <s v="U"/>
    <s v="U"/>
    <s v="U"/>
    <n v="3"/>
    <m/>
    <n v="1.3513513513513514E-2"/>
    <n v="7.6923076923076927E-2"/>
    <n v="0.23076923076923078"/>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65FB6A1-DD51-482F-84CF-F9DEEB7502F2}" name="PivotTable1"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2">
  <location ref="B77:C79" firstHeaderRow="1" firstDataRow="1" firstDataCol="1"/>
  <pivotFields count="35">
    <pivotField numFmtId="3" showAll="0"/>
    <pivotField showAll="0"/>
    <pivotField numFmtId="3" showAll="0"/>
    <pivotField showAll="0"/>
    <pivotField showAll="0"/>
    <pivotField showAll="0"/>
    <pivotField showAll="0">
      <items count="18">
        <item h="1" m="1" x="12"/>
        <item h="1" m="1" x="13"/>
        <item h="1" m="1" x="4"/>
        <item h="1" m="1" x="11"/>
        <item h="1" m="1" x="14"/>
        <item h="1" m="1" x="8"/>
        <item h="1" m="1" x="15"/>
        <item h="1" m="1" x="9"/>
        <item h="1" m="1" x="16"/>
        <item h="1" x="2"/>
        <item h="1" m="1" x="10"/>
        <item h="1" x="1"/>
        <item h="1" m="1" x="6"/>
        <item h="1" m="1" x="5"/>
        <item x="0"/>
        <item h="1" m="1" x="7"/>
        <item h="1" x="3"/>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axis="axisRow" showAll="0">
      <items count="3">
        <item m="1" x="1"/>
        <item x="0"/>
        <item t="default"/>
      </items>
    </pivotField>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0"/>
  </rowFields>
  <rowItems count="2">
    <i>
      <x v="1"/>
    </i>
    <i t="grand">
      <x/>
    </i>
  </rowItems>
  <colItems count="1">
    <i/>
  </colItems>
  <dataFields count="1">
    <dataField name="Sum of No. of Chapters" fld="10" baseField="0" baseItem="0"/>
  </dataFields>
  <formats count="6">
    <format dxfId="53">
      <pivotArea type="all" dataOnly="0" outline="0" fieldPosition="0"/>
    </format>
    <format dxfId="52">
      <pivotArea outline="0" collapsedLevelsAreSubtotals="1" fieldPosition="0"/>
    </format>
    <format dxfId="51">
      <pivotArea field="20" type="button" dataOnly="0" labelOnly="1" outline="0" axis="axisRow" fieldPosition="0"/>
    </format>
    <format dxfId="50">
      <pivotArea dataOnly="0" labelOnly="1" fieldPosition="0">
        <references count="1">
          <reference field="20" count="0"/>
        </references>
      </pivotArea>
    </format>
    <format dxfId="49">
      <pivotArea dataOnly="0" labelOnly="1" grandRow="1" outline="0" fieldPosition="0"/>
    </format>
    <format dxfId="48">
      <pivotArea dataOnly="0" labelOnly="1" outline="0" axis="axisValues" fieldPosition="0"/>
    </format>
  </formats>
  <chartFormats count="3">
    <chartFormat chart="8" format="8" series="1">
      <pivotArea type="data" outline="0" fieldPosition="0">
        <references count="1">
          <reference field="4294967294" count="1" selected="0">
            <x v="0"/>
          </reference>
        </references>
      </pivotArea>
    </chartFormat>
    <chartFormat chart="8" format="9">
      <pivotArea type="data" outline="0" fieldPosition="0">
        <references count="2">
          <reference field="4294967294" count="1" selected="0">
            <x v="0"/>
          </reference>
          <reference field="20" count="1" selected="0">
            <x v="0"/>
          </reference>
        </references>
      </pivotArea>
    </chartFormat>
    <chartFormat chart="8" format="10">
      <pivotArea type="data" outline="0" fieldPosition="0">
        <references count="2">
          <reference field="4294967294" count="1" selected="0">
            <x v="0"/>
          </reference>
          <reference field="2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61A9A48-8BA7-4B3F-969E-177D84BB225A}" name="PivotTable2"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2:C84" firstHeaderRow="1" firstDataRow="1" firstDataCol="1"/>
  <pivotFields count="35">
    <pivotField numFmtId="3" showAll="0"/>
    <pivotField showAll="0"/>
    <pivotField numFmtId="3" showAll="0"/>
    <pivotField showAll="0"/>
    <pivotField showAll="0"/>
    <pivotField showAll="0"/>
    <pivotField showAll="0">
      <items count="18">
        <item h="1" m="1" x="12"/>
        <item h="1" m="1" x="13"/>
        <item h="1" m="1" x="4"/>
        <item h="1" m="1" x="11"/>
        <item h="1" m="1" x="14"/>
        <item h="1" m="1" x="8"/>
        <item h="1" m="1" x="15"/>
        <item h="1" m="1" x="9"/>
        <item h="1" m="1" x="16"/>
        <item h="1" x="2"/>
        <item h="1" m="1" x="10"/>
        <item h="1" x="1"/>
        <item h="1" m="1" x="6"/>
        <item h="1" m="1" x="5"/>
        <item x="0"/>
        <item h="1" m="1" x="7"/>
        <item h="1" x="3"/>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axis="axisRow" showAll="0">
      <items count="3">
        <item m="1" x="1"/>
        <item x="0"/>
        <item t="default"/>
      </items>
    </pivotField>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1"/>
  </rowFields>
  <rowItems count="2">
    <i>
      <x v="1"/>
    </i>
    <i t="grand">
      <x/>
    </i>
  </rowItems>
  <colItems count="1">
    <i/>
  </colItems>
  <dataFields count="1">
    <dataField name="Sum of No. of Chapters" fld="10" baseField="0" baseItem="0"/>
  </dataFields>
  <formats count="6">
    <format dxfId="59">
      <pivotArea type="all" dataOnly="0" outline="0" fieldPosition="0"/>
    </format>
    <format dxfId="58">
      <pivotArea outline="0" collapsedLevelsAreSubtotals="1" fieldPosition="0"/>
    </format>
    <format dxfId="57">
      <pivotArea field="21" type="button" dataOnly="0" labelOnly="1" outline="0" axis="axisRow" fieldPosition="0"/>
    </format>
    <format dxfId="56">
      <pivotArea dataOnly="0" labelOnly="1" fieldPosition="0">
        <references count="1">
          <reference field="21" count="0"/>
        </references>
      </pivotArea>
    </format>
    <format dxfId="55">
      <pivotArea dataOnly="0" labelOnly="1" grandRow="1" outline="0" fieldPosition="0"/>
    </format>
    <format dxfId="54">
      <pivotArea dataOnly="0" labelOnly="1" outline="0" axis="axisValues" fieldPosition="0"/>
    </format>
  </formats>
  <chartFormats count="3">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21" count="1" selected="0">
            <x v="0"/>
          </reference>
        </references>
      </pivotArea>
    </chartFormat>
    <chartFormat chart="6" format="10">
      <pivotArea type="data" outline="0" fieldPosition="0">
        <references count="2">
          <reference field="4294967294" count="1" selected="0">
            <x v="0"/>
          </reference>
          <reference field="2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649E825-2976-4EC1-BF08-329137DBE83E}" name="PivotTable3"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7:C89" firstHeaderRow="1" firstDataRow="1" firstDataCol="1"/>
  <pivotFields count="35">
    <pivotField numFmtId="3" showAll="0"/>
    <pivotField showAll="0"/>
    <pivotField numFmtId="3" showAll="0"/>
    <pivotField showAll="0"/>
    <pivotField showAll="0"/>
    <pivotField showAll="0"/>
    <pivotField showAll="0">
      <items count="18">
        <item h="1" m="1" x="12"/>
        <item h="1" m="1" x="13"/>
        <item h="1" m="1" x="4"/>
        <item h="1" m="1" x="11"/>
        <item h="1" m="1" x="14"/>
        <item h="1" m="1" x="8"/>
        <item h="1" m="1" x="15"/>
        <item h="1" m="1" x="9"/>
        <item h="1" m="1" x="16"/>
        <item h="1" x="2"/>
        <item h="1" m="1" x="10"/>
        <item h="1" x="1"/>
        <item h="1" m="1" x="6"/>
        <item h="1" m="1" x="5"/>
        <item x="0"/>
        <item h="1" m="1" x="7"/>
        <item h="1" x="3"/>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numFmtId="9" showAll="0"/>
    <pivotField numFmtId="9" showAll="0"/>
    <pivotField numFmtId="4" showAll="0"/>
    <pivotField axis="axisRow" showAll="0">
      <items count="4">
        <item m="1" x="1"/>
        <item x="0"/>
        <item m="1" x="2"/>
        <item t="default"/>
      </items>
    </pivotField>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1"/>
  </rowFields>
  <rowItems count="2">
    <i>
      <x v="1"/>
    </i>
    <i t="grand">
      <x/>
    </i>
  </rowItems>
  <colItems count="1">
    <i/>
  </colItems>
  <dataFields count="1">
    <dataField name="Sum of No. of Chapters" fld="10" baseField="0" baseItem="0"/>
  </dataFields>
  <formats count="6">
    <format dxfId="65">
      <pivotArea type="all" dataOnly="0" outline="0" fieldPosition="0"/>
    </format>
    <format dxfId="64">
      <pivotArea outline="0" collapsedLevelsAreSubtotals="1" fieldPosition="0"/>
    </format>
    <format dxfId="63">
      <pivotArea field="31" type="button" dataOnly="0" labelOnly="1" outline="0" axis="axisRow" fieldPosition="0"/>
    </format>
    <format dxfId="62">
      <pivotArea dataOnly="0" labelOnly="1" fieldPosition="0">
        <references count="1">
          <reference field="31" count="0"/>
        </references>
      </pivotArea>
    </format>
    <format dxfId="61">
      <pivotArea dataOnly="0" labelOnly="1" grandRow="1" outline="0" fieldPosition="0"/>
    </format>
    <format dxfId="60">
      <pivotArea dataOnly="0" labelOnly="1" outline="0" axis="axisValues" fieldPosition="0"/>
    </format>
  </formats>
  <chartFormats count="3">
    <chartFormat chart="6" format="9" series="1">
      <pivotArea type="data" outline="0" fieldPosition="0">
        <references count="1">
          <reference field="4294967294" count="1" selected="0">
            <x v="0"/>
          </reference>
        </references>
      </pivotArea>
    </chartFormat>
    <chartFormat chart="6" format="10">
      <pivotArea type="data" outline="0" fieldPosition="0">
        <references count="2">
          <reference field="4294967294" count="1" selected="0">
            <x v="0"/>
          </reference>
          <reference field="31" count="1" selected="0">
            <x v="0"/>
          </reference>
        </references>
      </pivotArea>
    </chartFormat>
    <chartFormat chart="6" format="11">
      <pivotArea type="data" outline="0" fieldPosition="0">
        <references count="2">
          <reference field="4294967294" count="1" selected="0">
            <x v="0"/>
          </reference>
          <reference field="3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6725A16-ED4B-4704-8297-541E63709C05}" name="PivotTable4"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6">
  <location ref="B92:C94" firstHeaderRow="1" firstDataRow="1" firstDataCol="1"/>
  <pivotFields count="35">
    <pivotField numFmtId="3" showAll="0"/>
    <pivotField showAll="0"/>
    <pivotField numFmtId="3" showAll="0"/>
    <pivotField showAll="0"/>
    <pivotField showAll="0"/>
    <pivotField showAll="0"/>
    <pivotField showAll="0">
      <items count="18">
        <item h="1" m="1" x="12"/>
        <item h="1" m="1" x="13"/>
        <item h="1" m="1" x="4"/>
        <item h="1" m="1" x="11"/>
        <item h="1" m="1" x="14"/>
        <item h="1" m="1" x="8"/>
        <item h="1" m="1" x="15"/>
        <item h="1" m="1" x="9"/>
        <item h="1" m="1" x="16"/>
        <item h="1" x="2"/>
        <item h="1" m="1" x="10"/>
        <item h="1" x="1"/>
        <item h="1" m="1" x="6"/>
        <item h="1" m="1" x="5"/>
        <item x="0"/>
        <item h="1" m="1" x="7"/>
        <item h="1" x="3"/>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axis="axisRow" showAll="0">
      <items count="3">
        <item m="1" x="1"/>
        <item x="0"/>
        <item t="default"/>
      </items>
    </pivotField>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2"/>
  </rowFields>
  <rowItems count="2">
    <i>
      <x v="1"/>
    </i>
    <i t="grand">
      <x/>
    </i>
  </rowItems>
  <colItems count="1">
    <i/>
  </colItems>
  <dataFields count="1">
    <dataField name="Sum of No. of Chapters" fld="10" baseField="0" baseItem="0"/>
  </dataFields>
  <formats count="6">
    <format dxfId="71">
      <pivotArea type="all" dataOnly="0" outline="0" fieldPosition="0"/>
    </format>
    <format dxfId="70">
      <pivotArea outline="0" collapsedLevelsAreSubtotals="1" fieldPosition="0"/>
    </format>
    <format dxfId="69">
      <pivotArea field="22" type="button" dataOnly="0" labelOnly="1" outline="0" axis="axisRow" fieldPosition="0"/>
    </format>
    <format dxfId="68">
      <pivotArea dataOnly="0" labelOnly="1" fieldPosition="0">
        <references count="1">
          <reference field="22" count="0"/>
        </references>
      </pivotArea>
    </format>
    <format dxfId="67">
      <pivotArea dataOnly="0" labelOnly="1" grandRow="1" outline="0" fieldPosition="0"/>
    </format>
    <format dxfId="66">
      <pivotArea dataOnly="0" labelOnly="1" outline="0" axis="axisValues" fieldPosition="0"/>
    </format>
  </formats>
  <chartFormats count="3">
    <chartFormat chart="5" format="8" series="1">
      <pivotArea type="data" outline="0" fieldPosition="0">
        <references count="1">
          <reference field="4294967294" count="1" selected="0">
            <x v="0"/>
          </reference>
        </references>
      </pivotArea>
    </chartFormat>
    <chartFormat chart="5" format="9">
      <pivotArea type="data" outline="0" fieldPosition="0">
        <references count="2">
          <reference field="4294967294" count="1" selected="0">
            <x v="0"/>
          </reference>
          <reference field="22" count="1" selected="0">
            <x v="0"/>
          </reference>
        </references>
      </pivotArea>
    </chartFormat>
    <chartFormat chart="5" format="10">
      <pivotArea type="data" outline="0" fieldPosition="0">
        <references count="2">
          <reference field="4294967294" count="1" selected="0">
            <x v="0"/>
          </reference>
          <reference field="2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5E7BED3E-EC60-4282-8ACB-869130F64AA1}" name="PivotTable5"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97:C99" firstHeaderRow="1" firstDataRow="1" firstDataCol="1"/>
  <pivotFields count="35">
    <pivotField numFmtId="3" showAll="0"/>
    <pivotField showAll="0"/>
    <pivotField numFmtId="3" showAll="0"/>
    <pivotField showAll="0"/>
    <pivotField showAll="0"/>
    <pivotField showAll="0"/>
    <pivotField showAll="0">
      <items count="18">
        <item h="1" m="1" x="12"/>
        <item h="1" m="1" x="13"/>
        <item h="1" m="1" x="4"/>
        <item h="1" m="1" x="11"/>
        <item h="1" m="1" x="14"/>
        <item h="1" m="1" x="8"/>
        <item h="1" m="1" x="15"/>
        <item h="1" m="1" x="9"/>
        <item h="1" m="1" x="16"/>
        <item h="1" x="2"/>
        <item h="1" m="1" x="10"/>
        <item h="1" x="1"/>
        <item h="1" m="1" x="6"/>
        <item h="1" m="1" x="5"/>
        <item x="0"/>
        <item h="1" m="1" x="7"/>
        <item h="1" x="3"/>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axis="axisRow" showAll="0" sortType="ascending">
      <items count="4">
        <item m="1" x="1"/>
        <item x="0"/>
        <item m="1" x="2"/>
        <item t="default"/>
      </items>
    </pivotField>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2"/>
  </rowFields>
  <rowItems count="2">
    <i>
      <x v="1"/>
    </i>
    <i t="grand">
      <x/>
    </i>
  </rowItems>
  <colItems count="1">
    <i/>
  </colItems>
  <dataFields count="1">
    <dataField name="Sum of No. of Chapters" fld="10" baseField="0" baseItem="0"/>
  </dataFields>
  <formats count="6">
    <format dxfId="77">
      <pivotArea type="all" dataOnly="0" outline="0" fieldPosition="0"/>
    </format>
    <format dxfId="76">
      <pivotArea outline="0" collapsedLevelsAreSubtotals="1" fieldPosition="0"/>
    </format>
    <format dxfId="75">
      <pivotArea field="32" type="button" dataOnly="0" labelOnly="1" outline="0" axis="axisRow" fieldPosition="0"/>
    </format>
    <format dxfId="74">
      <pivotArea dataOnly="0" labelOnly="1" fieldPosition="0">
        <references count="1">
          <reference field="32" count="0"/>
        </references>
      </pivotArea>
    </format>
    <format dxfId="73">
      <pivotArea dataOnly="0" labelOnly="1" grandRow="1" outline="0" fieldPosition="0"/>
    </format>
    <format dxfId="72">
      <pivotArea dataOnly="0" labelOnly="1" outline="0" axis="axisValues" fieldPosition="0"/>
    </format>
  </formats>
  <chartFormats count="3">
    <chartFormat chart="6" format="9" series="1">
      <pivotArea type="data" outline="0" fieldPosition="0">
        <references count="1">
          <reference field="4294967294" count="1" selected="0">
            <x v="0"/>
          </reference>
        </references>
      </pivotArea>
    </chartFormat>
    <chartFormat chart="6" format="10">
      <pivotArea type="data" outline="0" fieldPosition="0">
        <references count="2">
          <reference field="4294967294" count="1" selected="0">
            <x v="0"/>
          </reference>
          <reference field="32" count="1" selected="0">
            <x v="0"/>
          </reference>
        </references>
      </pivotArea>
    </chartFormat>
    <chartFormat chart="6" format="11">
      <pivotArea type="data" outline="0" fieldPosition="0">
        <references count="2">
          <reference field="4294967294" count="1" selected="0">
            <x v="0"/>
          </reference>
          <reference field="32"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ject" xr10:uid="{E5DF8370-856C-4096-8BFE-2F3EB9D9E115}" sourceName="Subject">
  <pivotTables>
    <pivotTable tabId="8" name="PivotTable2"/>
    <pivotTable tabId="8" name="PivotTable1"/>
    <pivotTable tabId="8" name="PivotTable5"/>
    <pivotTable tabId="8" name="PivotTable4"/>
    <pivotTable tabId="8" name="PivotTable3"/>
  </pivotTables>
  <data>
    <tabular pivotCacheId="1723530185" customListSort="0" showMissing="0" crossFilter="none">
      <items count="17">
        <i x="2"/>
        <i x="1"/>
        <i x="0" s="1"/>
        <i x="3"/>
        <i x="12"/>
        <i x="13"/>
        <i x="4"/>
        <i x="11"/>
        <i x="14"/>
        <i x="8"/>
        <i x="15"/>
        <i x="9"/>
        <i x="16"/>
        <i x="10"/>
        <i x="6"/>
        <i x="5"/>
        <i x="7"/>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ject 2" xr10:uid="{10316CBC-5F57-4C58-8663-4C18FEE16DD0}" cache="Slicer_Subject" caption="Subject"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ster_Data" displayName="Master_Data" ref="B8:AH65" totalsRowShown="0" headerRowDxfId="115" dataDxfId="113" headerRowBorderDxfId="114" tableBorderDxfId="112" totalsRowBorderDxfId="111">
  <autoFilter ref="B8:AH65" xr:uid="{861EE33C-73C1-4F33-9192-F531CCE54052}"/>
  <tableColumns count="33">
    <tableColumn id="9" xr3:uid="{1F1DE16E-278E-4EF8-B2BB-8924E21CCBFE}" name="Order of Study" dataDxfId="110"/>
    <tableColumn id="33" xr3:uid="{BBAB2BFB-594B-429D-A8B8-83652595607C}" name="Schedule" dataDxfId="109">
      <calculatedColumnFormula>IF(Master_Data[[#This Row],[Column1]]="Done","",IF(Master_Data[[#This Row],[Column1]]=MIN(Master_Data[Column1]),"Current Week",CONCATENATE("Week ",Master_Data[[#This Row],[Column1]])))</calculatedColumnFormula>
    </tableColumn>
    <tableColumn id="32" xr3:uid="{9A94244A-9683-470A-BBD0-A46326317C2C}" name="Column1" dataDxfId="108">
      <calculatedColumnFormula>IF(Master_Data[[#This Row],[Cum. Undone hrs]]=0,"Done",ROUNDUP(Master_Data[[#This Row],[Cum. Undone hrs]]/Working!$C$8,0))</calculatedColumnFormula>
    </tableColumn>
    <tableColumn id="8" xr3:uid="{CBD76F79-197D-456A-86C8-030975CC989E}" name="Column2" dataDxfId="107">
      <calculatedColumnFormula>IF(OR(D9=D8,D9=D8+1),Master_Data[[#This Row],[Column1]],D9-1)</calculatedColumnFormula>
    </tableColumn>
    <tableColumn id="30" xr3:uid="{870EBD19-DC72-4312-B209-C8AADE869148}" name="Cum. Undone hrs" dataDxfId="106">
      <calculatedColumnFormula>SUM($G$9:G9)</calculatedColumnFormula>
    </tableColumn>
    <tableColumn id="27" xr3:uid="{2C857C23-47AE-4F9C-AA57-E6F2EC1B8477}" name="Undone hrs" dataDxfId="105">
      <calculatedColumnFormula>IF(Master_Data[[#This Row],[Lectures]]="D","",Master_Data[[#This Row],[Duration (hh:mm)]])</calculatedColumnFormula>
    </tableColumn>
    <tableColumn id="1" xr3:uid="{00000000-0010-0000-0000-000001000000}" name="Subject" dataDxfId="104"/>
    <tableColumn id="2" xr3:uid="{00000000-0010-0000-0000-000002000000}" name="Reading" dataDxfId="103"/>
    <tableColumn id="24" xr3:uid="{12F2DE11-D6A3-41B2-B62E-C51E27851BC0}" name="Changes" dataDxfId="102"/>
    <tableColumn id="3" xr3:uid="{00000000-0010-0000-0000-000003000000}" name="Topic" dataDxfId="101"/>
    <tableColumn id="10" xr3:uid="{E77E6611-A311-4B18-AC1C-9DDFD2ABEF51}" name="No. of Chapters" dataDxfId="100"/>
    <tableColumn id="13" xr3:uid="{831F4477-25B4-4195-AB9B-0AADBF9D7D3E}" name="No. of LOS" dataDxfId="99"/>
    <tableColumn id="21" xr3:uid="{75701E24-4A87-4E0F-9D5A-73640F8E25C4}" name="Lengthy" dataDxfId="98"/>
    <tableColumn id="20" xr3:uid="{77CA19E4-4B02-44E6-B959-FD5250D705DD}" name="Numerical or Not" dataDxfId="97"/>
    <tableColumn id="19" xr3:uid="{2E72736C-C56E-4D52-B458-A87278BC9CE2}" name="Diff. Level" dataDxfId="96"/>
    <tableColumn id="22" xr3:uid="{BC8C5220-F4FC-4DDB-BF01-412D8FEECE86}" name="Confusing" dataDxfId="95"/>
    <tableColumn id="18" xr3:uid="{2E66286A-5B10-41F1-B2EC-C16040833BBF}" name="Imp. Level" dataDxfId="94"/>
    <tableColumn id="17" xr3:uid="{7EEA9AA8-4E26-4B33-AA7E-0D9AA4589720}" name="Reqd. Prac." dataDxfId="93"/>
    <tableColumn id="16" xr3:uid="{BD71F8AD-1CE1-4DAB-BF8A-6F05372A3D94}" name="Duration (hh:mm)" dataDxfId="92"/>
    <tableColumn id="15" xr3:uid="{14D87CA9-408F-464E-88DB-8BE470862CA1}" name="Cum. (%)" dataDxfId="91">
      <calculatedColumnFormula>(SUM($T$9:T9)/$T$4)*100</calculatedColumnFormula>
    </tableColumn>
    <tableColumn id="4" xr3:uid="{00000000-0010-0000-0000-000004000000}" name="Lectures" dataDxfId="90"/>
    <tableColumn id="5" xr3:uid="{00000000-0010-0000-0000-000005000000}" name="Self Study" dataDxfId="89"/>
    <tableColumn id="6" xr3:uid="{00000000-0010-0000-0000-000006000000}" name="Revision" dataDxfId="88"/>
    <tableColumn id="12" xr3:uid="{00000000-0010-0000-0000-00000C000000}" name="Prac. Book" dataDxfId="87"/>
    <tableColumn id="14" xr3:uid="{AEDD019D-42C9-488A-91CF-CB6B9FD52249}" name="GARP 10 Yr Papers" dataDxfId="86"/>
    <tableColumn id="7" xr3:uid="{00000000-0010-0000-0000-000007000000}" name="GARP EOC Ques." dataDxfId="85"/>
    <tableColumn id="25" xr3:uid="{960A4FD1-ACCA-4C3B-BB49-555780F1E120}" name="Confidence Level" dataDxfId="84"/>
    <tableColumn id="23" xr3:uid="{4F2FB2AB-1E57-49E4-A36E-C2AE4F7ECC88}" name="Notes to Yourself" dataDxfId="83"/>
    <tableColumn id="26" xr3:uid="{15012E93-27CD-479E-B748-1A0B33E38540}" name="Total weights" dataDxfId="82">
      <calculatedColumnFormula>R9/SUM($R$9:$R$65)</calculatedColumnFormula>
    </tableColumn>
    <tableColumn id="28" xr3:uid="{F75F033E-D2A5-4A49-AC71-603D263F625D}" name="Subjectwise weights" dataDxfId="81">
      <calculatedColumnFormula>Master_Data[[#This Row],[Imp. Level]]/SUMIF(Master_Data[Subject],Master_Data[[#This Row],[Subject]],Master_Data[Imp. Level])</calculatedColumnFormula>
    </tableColumn>
    <tableColumn id="29" xr3:uid="{4DCF2CFD-3233-40BF-995C-319D9E96ABF7}" name="Subjectwise weighted average" dataDxfId="80">
      <calculatedColumnFormula>Master_Data[[#This Row],[Subjectwise weights]]*Master_Data[[#This Row],[Confidence Level]]</calculatedColumnFormula>
    </tableColumn>
    <tableColumn id="31" xr3:uid="{44791B14-8EA4-4997-9F55-0F060C364CAA}" name="Practice" dataDxfId="79">
      <calculatedColumnFormula>IF(AND(Master_Data[[#This Row],[Prac. Book]]="D",Master_Data[[#This Row],[GARP EOC Ques.]]="D"),"D","U")</calculatedColumnFormula>
    </tableColumn>
    <tableColumn id="34" xr3:uid="{679C7012-AA95-4E12-BCFA-3A8F0884BA1B}" name="Extra Practice" dataDxfId="78">
      <calculatedColumnFormula>Master_Data[[#This Row],[GARP 10 Yr Papers]]</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470A77-94EC-4BDD-954E-C1385AFD4773}" name="Table134" displayName="Table134" ref="E2:K8" totalsRowCount="1" headerRowDxfId="47" dataDxfId="45" totalsRowDxfId="43" headerRowBorderDxfId="46" tableBorderDxfId="44" totalsRowBorderDxfId="42">
  <tableColumns count="7">
    <tableColumn id="1" xr3:uid="{AE11ECA3-766C-4A27-9D55-2BC88847F811}" name="YEAR" dataDxfId="41" totalsRowDxfId="40"/>
    <tableColumn id="8" xr3:uid="{F45BA15B-8BD1-46B5-B2D7-1C41230837B1}" name="Difference" dataDxfId="39" totalsRowDxfId="38" dataCellStyle="Percent" totalsRowCellStyle="Percent"/>
    <tableColumn id="3" xr3:uid="{8587D4BE-01D5-4334-AA9F-1CB7C9F49C45}" name="Cum. Diff" dataDxfId="37" totalsRowDxfId="36" dataCellStyle="Percent" totalsRowCellStyle="Percent">
      <calculatedColumnFormula>Table134[[#This Row],[Diff %]]</calculatedColumnFormula>
    </tableColumn>
    <tableColumn id="2" xr3:uid="{6BC40997-B42C-4560-B77E-739CF69E8116}" name="Diff %" totalsRowFunction="sum" dataDxfId="35" totalsRowDxfId="34" dataCellStyle="Percent" totalsRowCellStyle="Percent">
      <calculatedColumnFormula>Table134[[#This Row],[%]]</calculatedColumnFormula>
    </tableColumn>
    <tableColumn id="6" xr3:uid="{3F56D537-714F-43D6-9FD7-831C5EC8E06A}" name="%" dataDxfId="33" totalsRowDxfId="32">
      <calculatedColumnFormula>Table134[[#This Row],[Difference]]/$F$7</calculatedColumnFormula>
    </tableColumn>
    <tableColumn id="7" xr3:uid="{934479DB-DEF7-4CC9-ACF3-42FD51742DBC}" name="No. of days" dataDxfId="31" totalsRowDxfId="30">
      <calculatedColumnFormula>30%</calculatedColumnFormula>
    </tableColumn>
    <tableColumn id="10" xr3:uid="{51DA5D9E-8A89-4740-A73E-F978631A4936}" name="LABEL" dataDxfId="29" totalsRowDxfId="28"/>
  </tableColumns>
  <tableStyleInfo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ivotTable" Target="../pivotTables/pivotTable3.xml"/><Relationship Id="rId7" Type="http://schemas.openxmlformats.org/officeDocument/2006/relationships/drawing" Target="../drawings/drawing4.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5.bin"/><Relationship Id="rId5" Type="http://schemas.openxmlformats.org/officeDocument/2006/relationships/pivotTable" Target="../pivotTables/pivotTable5.xml"/><Relationship Id="rId10" Type="http://schemas.openxmlformats.org/officeDocument/2006/relationships/comments" Target="../comments2.xml"/><Relationship Id="rId4" Type="http://schemas.openxmlformats.org/officeDocument/2006/relationships/pivotTable" Target="../pivotTables/pivotTable4.xm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AA41"/>
  <sheetViews>
    <sheetView showGridLines="0" zoomScale="90" zoomScaleNormal="90" workbookViewId="0">
      <selection activeCell="F6" sqref="F6"/>
    </sheetView>
  </sheetViews>
  <sheetFormatPr defaultColWidth="8.7109375" defaultRowHeight="14.25"/>
  <cols>
    <col min="1" max="1" width="3.7109375" style="32" customWidth="1"/>
    <col min="2" max="2" width="11.85546875" style="32" customWidth="1"/>
    <col min="3" max="3" width="16" style="32" customWidth="1"/>
    <col min="4" max="4" width="42.5703125" style="32" customWidth="1"/>
    <col min="5" max="5" width="34.42578125" style="32" customWidth="1"/>
    <col min="6" max="6" width="39.5703125" style="32" customWidth="1"/>
    <col min="7" max="16384" width="8.7109375" style="32"/>
  </cols>
  <sheetData>
    <row r="1" spans="2:27" ht="6.75" customHeight="1"/>
    <row r="2" spans="2:27" ht="30" customHeight="1">
      <c r="B2" s="263" t="s">
        <v>145</v>
      </c>
      <c r="C2" s="263"/>
      <c r="D2" s="263"/>
      <c r="E2" s="263"/>
      <c r="F2" s="263"/>
      <c r="G2" s="49"/>
      <c r="H2" s="49"/>
      <c r="I2" s="49"/>
      <c r="J2" s="49"/>
      <c r="K2" s="49"/>
      <c r="L2" s="49"/>
      <c r="M2" s="49"/>
      <c r="N2" s="49"/>
      <c r="O2" s="49"/>
      <c r="P2" s="49"/>
      <c r="Q2" s="49"/>
      <c r="R2" s="49"/>
      <c r="S2" s="49"/>
      <c r="T2" s="49"/>
      <c r="U2" s="49"/>
      <c r="V2" s="49"/>
      <c r="W2" s="49"/>
      <c r="X2" s="49"/>
      <c r="Y2" s="49"/>
      <c r="Z2" s="49"/>
      <c r="AA2" s="49"/>
    </row>
    <row r="3" spans="2:27" ht="9.9499999999999993" customHeight="1"/>
    <row r="4" spans="2:27" s="20" customFormat="1" ht="21.75" customHeight="1">
      <c r="D4" s="50"/>
      <c r="E4" s="258" t="s">
        <v>150</v>
      </c>
      <c r="F4" s="258"/>
      <c r="G4" s="50"/>
      <c r="H4" s="50"/>
      <c r="I4" s="50"/>
      <c r="J4" s="50"/>
      <c r="K4" s="51"/>
      <c r="L4" s="51"/>
      <c r="M4" s="51"/>
      <c r="N4" s="51"/>
      <c r="O4" s="51"/>
      <c r="P4" s="51"/>
      <c r="Q4" s="51"/>
      <c r="R4" s="51"/>
      <c r="S4" s="51"/>
    </row>
    <row r="5" spans="2:27" ht="8.25" customHeight="1"/>
    <row r="6" spans="2:27" ht="18.75">
      <c r="E6" s="61" t="s">
        <v>0</v>
      </c>
      <c r="F6" s="62" t="s">
        <v>149</v>
      </c>
      <c r="I6" s="128"/>
    </row>
    <row r="7" spans="2:27" ht="5.25" customHeight="1">
      <c r="E7" s="52"/>
      <c r="F7" s="143"/>
    </row>
    <row r="8" spans="2:27" ht="19.5" customHeight="1">
      <c r="E8" s="169" t="s">
        <v>2</v>
      </c>
      <c r="F8" s="170">
        <v>44845</v>
      </c>
    </row>
    <row r="9" spans="2:27" ht="19.5" customHeight="1">
      <c r="E9" s="171" t="s">
        <v>1</v>
      </c>
      <c r="F9" s="172">
        <v>45980</v>
      </c>
    </row>
    <row r="11" spans="2:27">
      <c r="B11" s="262"/>
      <c r="C11" s="262"/>
      <c r="D11" s="262"/>
    </row>
    <row r="12" spans="2:27" ht="6.6" customHeight="1">
      <c r="B12" s="137"/>
      <c r="C12" s="137"/>
    </row>
    <row r="13" spans="2:27" s="138" customFormat="1" ht="25.5">
      <c r="B13" s="264" t="s">
        <v>28</v>
      </c>
      <c r="C13" s="264"/>
      <c r="D13" s="265"/>
      <c r="E13" s="265"/>
      <c r="F13" s="139" t="str">
        <f>'📝 Instructions'!E4&amp;" |Aswini Bajaj"</f>
        <v>FRM P-1 |Aswini Bajaj</v>
      </c>
    </row>
    <row r="14" spans="2:27">
      <c r="C14" s="33"/>
    </row>
    <row r="15" spans="2:27" ht="42.6" customHeight="1">
      <c r="B15" s="130"/>
      <c r="C15" s="130"/>
      <c r="D15" s="130"/>
      <c r="E15" s="130"/>
      <c r="F15" s="130"/>
    </row>
    <row r="16" spans="2:27" ht="44.45" customHeight="1">
      <c r="B16" s="43"/>
      <c r="C16" s="43"/>
      <c r="D16" s="43"/>
      <c r="E16" s="43"/>
      <c r="F16" s="43"/>
    </row>
    <row r="17" spans="2:6" ht="25.5">
      <c r="B17" s="44"/>
      <c r="C17" s="45"/>
      <c r="D17" s="44"/>
      <c r="E17" s="44"/>
    </row>
    <row r="18" spans="2:6" ht="18.600000000000001" customHeight="1">
      <c r="B18" s="44"/>
      <c r="C18" s="45"/>
      <c r="D18" s="44"/>
      <c r="E18" s="44"/>
    </row>
    <row r="19" spans="2:6" ht="18.75">
      <c r="B19" s="142" t="s">
        <v>26</v>
      </c>
      <c r="C19" s="142" t="s">
        <v>27</v>
      </c>
      <c r="D19" s="261" t="s">
        <v>28</v>
      </c>
      <c r="E19" s="261"/>
      <c r="F19" s="261"/>
    </row>
    <row r="20" spans="2:6" ht="59.1" customHeight="1">
      <c r="B20" s="131">
        <v>1</v>
      </c>
      <c r="C20" s="132" t="s">
        <v>11</v>
      </c>
      <c r="D20" s="259" t="s">
        <v>147</v>
      </c>
      <c r="E20" s="259"/>
      <c r="F20" s="260"/>
    </row>
    <row r="21" spans="2:6" ht="42" customHeight="1">
      <c r="B21" s="131">
        <v>2</v>
      </c>
      <c r="C21" s="132" t="str">
        <f>Master_Data[[#Headers],[Schedule]]</f>
        <v>Schedule</v>
      </c>
      <c r="D21" s="259" t="s">
        <v>151</v>
      </c>
      <c r="E21" s="259"/>
      <c r="F21" s="260"/>
    </row>
    <row r="22" spans="2:6" ht="42" customHeight="1">
      <c r="B22" s="133">
        <v>3</v>
      </c>
      <c r="C22" s="134" t="s">
        <v>3</v>
      </c>
      <c r="D22" s="259" t="s">
        <v>32</v>
      </c>
      <c r="E22" s="259"/>
      <c r="F22" s="260"/>
    </row>
    <row r="23" spans="2:6" ht="25.5" customHeight="1">
      <c r="B23" s="135">
        <v>4</v>
      </c>
      <c r="C23" s="136" t="s">
        <v>4</v>
      </c>
      <c r="D23" s="259" t="s">
        <v>66</v>
      </c>
      <c r="E23" s="259"/>
      <c r="F23" s="260"/>
    </row>
    <row r="24" spans="2:6" ht="42" customHeight="1">
      <c r="B24" s="133">
        <v>5</v>
      </c>
      <c r="C24" s="134" t="s">
        <v>5</v>
      </c>
      <c r="D24" s="259" t="s">
        <v>79</v>
      </c>
      <c r="E24" s="259"/>
      <c r="F24" s="260"/>
    </row>
    <row r="25" spans="2:6" ht="49.5" customHeight="1">
      <c r="B25" s="135">
        <v>6</v>
      </c>
      <c r="C25" s="136" t="s">
        <v>65</v>
      </c>
      <c r="D25" s="259" t="s">
        <v>229</v>
      </c>
      <c r="E25" s="259"/>
      <c r="F25" s="260"/>
    </row>
    <row r="26" spans="2:6" ht="29.1" customHeight="1">
      <c r="B26" s="133">
        <v>7</v>
      </c>
      <c r="C26" s="134" t="s">
        <v>85</v>
      </c>
      <c r="D26" s="259" t="s">
        <v>82</v>
      </c>
      <c r="E26" s="259"/>
      <c r="F26" s="260"/>
    </row>
    <row r="27" spans="2:6" ht="42" customHeight="1">
      <c r="B27" s="135">
        <v>8</v>
      </c>
      <c r="C27" s="136" t="s">
        <v>142</v>
      </c>
      <c r="D27" s="259" t="s">
        <v>152</v>
      </c>
      <c r="E27" s="259"/>
      <c r="F27" s="260"/>
    </row>
    <row r="28" spans="2:6" ht="42" customHeight="1">
      <c r="B28" s="133">
        <v>9</v>
      </c>
      <c r="C28" s="134" t="s">
        <v>62</v>
      </c>
      <c r="D28" s="259" t="s">
        <v>78</v>
      </c>
      <c r="E28" s="259"/>
      <c r="F28" s="260"/>
    </row>
    <row r="29" spans="2:6" ht="72" customHeight="1">
      <c r="B29" s="135">
        <v>10</v>
      </c>
      <c r="C29" s="136" t="s">
        <v>63</v>
      </c>
      <c r="D29" s="259" t="s">
        <v>80</v>
      </c>
      <c r="E29" s="259"/>
      <c r="F29" s="260"/>
    </row>
    <row r="30" spans="2:6" ht="75.599999999999994" customHeight="1">
      <c r="B30" s="133">
        <v>11</v>
      </c>
      <c r="C30" s="134" t="s">
        <v>143</v>
      </c>
      <c r="D30" s="259" t="s">
        <v>77</v>
      </c>
      <c r="E30" s="259"/>
      <c r="F30" s="260"/>
    </row>
    <row r="31" spans="2:6" ht="187.5" customHeight="1">
      <c r="B31" s="135">
        <v>12</v>
      </c>
      <c r="C31" s="136" t="s">
        <v>64</v>
      </c>
      <c r="D31" s="259" t="s">
        <v>153</v>
      </c>
      <c r="E31" s="259"/>
      <c r="F31" s="260"/>
    </row>
    <row r="32" spans="2:6" ht="72.95" customHeight="1">
      <c r="B32" s="133">
        <v>13</v>
      </c>
      <c r="C32" s="134" t="s">
        <v>29</v>
      </c>
      <c r="D32" s="259" t="s">
        <v>219</v>
      </c>
      <c r="E32" s="259"/>
      <c r="F32" s="260"/>
    </row>
    <row r="33" spans="2:6" ht="42" customHeight="1">
      <c r="B33" s="135">
        <v>14</v>
      </c>
      <c r="C33" s="136" t="s">
        <v>25</v>
      </c>
      <c r="D33" s="259" t="s">
        <v>154</v>
      </c>
      <c r="E33" s="259"/>
      <c r="F33" s="260"/>
    </row>
    <row r="34" spans="2:6" ht="58.5" customHeight="1">
      <c r="B34" s="133">
        <v>15</v>
      </c>
      <c r="C34" s="134" t="s">
        <v>22</v>
      </c>
      <c r="D34" s="259" t="s">
        <v>155</v>
      </c>
      <c r="E34" s="259"/>
      <c r="F34" s="260"/>
    </row>
    <row r="35" spans="2:6" ht="56.45" customHeight="1">
      <c r="B35" s="135">
        <v>16</v>
      </c>
      <c r="C35" s="136" t="s">
        <v>23</v>
      </c>
      <c r="D35" s="259" t="s">
        <v>33</v>
      </c>
      <c r="E35" s="259"/>
      <c r="F35" s="260"/>
    </row>
    <row r="36" spans="2:6" ht="58.5" customHeight="1">
      <c r="B36" s="133">
        <v>17</v>
      </c>
      <c r="C36" s="134" t="s">
        <v>159</v>
      </c>
      <c r="D36" s="259" t="s">
        <v>156</v>
      </c>
      <c r="E36" s="259"/>
      <c r="F36" s="260"/>
    </row>
    <row r="37" spans="2:6" ht="54" customHeight="1">
      <c r="B37" s="135">
        <v>18</v>
      </c>
      <c r="C37" s="134" t="s">
        <v>160</v>
      </c>
      <c r="D37" s="259" t="s">
        <v>157</v>
      </c>
      <c r="E37" s="259"/>
      <c r="F37" s="260"/>
    </row>
    <row r="38" spans="2:6" ht="42" customHeight="1">
      <c r="B38" s="133">
        <v>19</v>
      </c>
      <c r="C38" s="134" t="s">
        <v>24</v>
      </c>
      <c r="D38" s="259" t="s">
        <v>34</v>
      </c>
      <c r="E38" s="259"/>
      <c r="F38" s="260"/>
    </row>
    <row r="39" spans="2:6" ht="42" customHeight="1">
      <c r="B39" s="135">
        <v>20</v>
      </c>
      <c r="C39" s="134" t="s">
        <v>161</v>
      </c>
      <c r="D39" s="259" t="s">
        <v>158</v>
      </c>
      <c r="E39" s="259"/>
      <c r="F39" s="260"/>
    </row>
    <row r="40" spans="2:6" ht="42" customHeight="1">
      <c r="B40" s="133">
        <v>21</v>
      </c>
      <c r="C40" s="136" t="s">
        <v>96</v>
      </c>
      <c r="D40" s="259" t="s">
        <v>141</v>
      </c>
      <c r="E40" s="259"/>
      <c r="F40" s="260"/>
    </row>
    <row r="41" spans="2:6" ht="48.6" customHeight="1">
      <c r="B41" s="133">
        <v>22</v>
      </c>
      <c r="C41" s="134" t="s">
        <v>83</v>
      </c>
      <c r="D41" s="259" t="s">
        <v>144</v>
      </c>
      <c r="E41" s="259"/>
      <c r="F41" s="260"/>
    </row>
  </sheetData>
  <sheetProtection algorithmName="SHA-512" hashValue="p6mlx2nNpfsoygp0WtF/8dVcz9FudiRcPsRJUR7oyEAk9+6Waqnd1wyPsR2JmXPghXKMm6mVoPfhnnLPXpQ0lg==" saltValue="mlKIphpKxIDnpwHNwLx6+g==" spinCount="100000" sheet="1" selectLockedCells="1"/>
  <mergeCells count="28">
    <mergeCell ref="D40:F40"/>
    <mergeCell ref="D41:F41"/>
    <mergeCell ref="D24:F24"/>
    <mergeCell ref="D32:F32"/>
    <mergeCell ref="D33:F33"/>
    <mergeCell ref="D34:F34"/>
    <mergeCell ref="D35:F35"/>
    <mergeCell ref="D30:F30"/>
    <mergeCell ref="D31:F31"/>
    <mergeCell ref="D29:F29"/>
    <mergeCell ref="D28:F28"/>
    <mergeCell ref="D27:F27"/>
    <mergeCell ref="D25:F25"/>
    <mergeCell ref="D26:F26"/>
    <mergeCell ref="D36:F36"/>
    <mergeCell ref="D37:F37"/>
    <mergeCell ref="D38:F38"/>
    <mergeCell ref="D39:F39"/>
    <mergeCell ref="D22:F22"/>
    <mergeCell ref="D23:F23"/>
    <mergeCell ref="B13:C13"/>
    <mergeCell ref="D21:F21"/>
    <mergeCell ref="D13:E13"/>
    <mergeCell ref="E4:F4"/>
    <mergeCell ref="D20:F20"/>
    <mergeCell ref="D19:F19"/>
    <mergeCell ref="B11:D11"/>
    <mergeCell ref="B2:F2"/>
  </mergeCells>
  <dataValidations count="3">
    <dataValidation type="date" operator="greaterThanOrEqual" allowBlank="1" showInputMessage="1" showErrorMessage="1" promptTitle="Exam Date:" prompt="Please enter the date of the exam in dd-mm-yy format" sqref="F9" xr:uid="{00000000-0002-0000-0000-000000000000}">
      <formula1>TODAY()</formula1>
    </dataValidation>
    <dataValidation type="date" operator="lessThanOrEqual" allowBlank="1" showErrorMessage="1" errorTitle="Wrong Entry" error="Please enter a date less than or equal to today to get the Target &amp; Analysis of your Performance_x000a_" promptTitle="Enter Date:" prompt="Please enter the date here which i" sqref="F8" xr:uid="{00000000-0002-0000-0000-000002000000}">
      <formula1>TODAY()</formula1>
    </dataValidation>
    <dataValidation type="textLength" allowBlank="1" showInputMessage="1" showErrorMessage="1" promptTitle="Please Input your name" sqref="F6" xr:uid="{00000000-0002-0000-0000-000003000000}">
      <formula1>1</formula1>
      <formula2>100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A2:AH65"/>
  <sheetViews>
    <sheetView showGridLines="0" zoomScale="80" zoomScaleNormal="80" workbookViewId="0">
      <selection activeCell="V11" sqref="V11"/>
    </sheetView>
  </sheetViews>
  <sheetFormatPr defaultColWidth="8.85546875" defaultRowHeight="14.25"/>
  <cols>
    <col min="1" max="1" width="0.5703125" style="32" customWidth="1"/>
    <col min="2" max="2" width="6.42578125" style="32" customWidth="1"/>
    <col min="3" max="3" width="9.5703125" style="33" customWidth="1"/>
    <col min="4" max="5" width="10.85546875" style="32" hidden="1" customWidth="1"/>
    <col min="6" max="6" width="8" style="32" hidden="1" customWidth="1"/>
    <col min="7" max="7" width="9.28515625" style="32" hidden="1" customWidth="1"/>
    <col min="8" max="8" width="13.7109375" style="33" customWidth="1"/>
    <col min="9" max="9" width="8.85546875" style="32" customWidth="1"/>
    <col min="10" max="10" width="8.85546875" style="32" hidden="1" customWidth="1"/>
    <col min="11" max="11" width="32.42578125" style="33" customWidth="1"/>
    <col min="12" max="12" width="10.85546875" style="33" hidden="1" customWidth="1"/>
    <col min="13" max="13" width="6.140625" style="53" customWidth="1"/>
    <col min="14" max="19" width="8.7109375" style="53" customWidth="1"/>
    <col min="20" max="20" width="9.85546875" style="32" customWidth="1"/>
    <col min="21" max="21" width="8.140625" style="32" bestFit="1" customWidth="1"/>
    <col min="22" max="22" width="8.7109375" style="32" customWidth="1"/>
    <col min="23" max="23" width="6.85546875" style="32" bestFit="1" customWidth="1"/>
    <col min="24" max="24" width="8.5703125" style="32" customWidth="1"/>
    <col min="25" max="25" width="6" style="32" customWidth="1"/>
    <col min="26" max="27" width="10.28515625" style="32" customWidth="1"/>
    <col min="28" max="28" width="7.7109375" style="32" customWidth="1"/>
    <col min="29" max="29" width="40" style="32" customWidth="1"/>
    <col min="30" max="31" width="8.85546875" style="32" hidden="1" customWidth="1"/>
    <col min="32" max="32" width="11.42578125" style="32" hidden="1" customWidth="1"/>
    <col min="33" max="34" width="8.85546875" style="32" hidden="1" customWidth="1"/>
    <col min="35" max="16384" width="8.85546875" style="32"/>
  </cols>
  <sheetData>
    <row r="2" spans="1:34" ht="30" customHeight="1">
      <c r="A2" s="55"/>
      <c r="B2" s="67" t="s">
        <v>44</v>
      </c>
      <c r="C2" s="163"/>
      <c r="D2" s="63"/>
      <c r="E2" s="63"/>
      <c r="F2" s="63"/>
      <c r="G2" s="63"/>
      <c r="H2" s="63"/>
      <c r="I2" s="64"/>
      <c r="J2" s="64"/>
      <c r="K2" s="64"/>
      <c r="L2" s="64"/>
      <c r="M2" s="64"/>
      <c r="N2" s="64"/>
      <c r="O2" s="64"/>
      <c r="P2" s="64"/>
      <c r="Q2" s="64"/>
      <c r="R2" s="64"/>
      <c r="S2" s="64"/>
      <c r="T2" s="64"/>
      <c r="U2" s="64"/>
      <c r="V2" s="64"/>
      <c r="W2" s="64"/>
      <c r="X2" s="64"/>
      <c r="Y2" s="65"/>
      <c r="Z2" s="65"/>
      <c r="AA2" s="65"/>
      <c r="AB2" s="65" t="str">
        <f>'📝 Instructions'!E4&amp;" |Aswini Bajaj"</f>
        <v>FRM P-1 |Aswini Bajaj</v>
      </c>
    </row>
    <row r="3" spans="1:34" ht="11.25" customHeight="1">
      <c r="B3" s="54"/>
      <c r="C3" s="164"/>
      <c r="D3" s="54"/>
      <c r="E3" s="54"/>
      <c r="F3" s="54"/>
      <c r="G3" s="54"/>
      <c r="H3" s="54"/>
      <c r="I3" s="54"/>
      <c r="J3" s="54"/>
    </row>
    <row r="4" spans="1:34" ht="20.100000000000001" customHeight="1">
      <c r="B4" s="266" t="s">
        <v>93</v>
      </c>
      <c r="C4" s="266"/>
      <c r="D4" s="266"/>
      <c r="E4" s="266"/>
      <c r="F4" s="266"/>
      <c r="G4" s="266"/>
      <c r="H4" s="266"/>
      <c r="I4" s="266"/>
      <c r="J4" s="266"/>
      <c r="K4" s="266"/>
      <c r="L4" s="266"/>
      <c r="M4" s="266"/>
      <c r="N4" s="266"/>
      <c r="O4" s="266"/>
      <c r="P4" s="266"/>
      <c r="Q4" s="266"/>
      <c r="R4" s="267" t="s">
        <v>7</v>
      </c>
      <c r="S4" s="268"/>
      <c r="T4" s="37">
        <f>SUM(Master_Data[Duration (hh:mm)])</f>
        <v>8.9986111111111082</v>
      </c>
      <c r="U4" s="38">
        <v>1</v>
      </c>
      <c r="V4" s="39">
        <f>SUM(Master_Data[No. of Chapters])</f>
        <v>63</v>
      </c>
      <c r="W4" s="39">
        <f>SUM(Master_Data[No. of Chapters])</f>
        <v>63</v>
      </c>
      <c r="X4" s="39">
        <f>SUM(Master_Data[No. of Chapters])</f>
        <v>63</v>
      </c>
      <c r="Y4" s="39">
        <f>SUM(Master_Data[No. of Chapters])</f>
        <v>63</v>
      </c>
      <c r="Z4" s="39">
        <f>SUM(Master_Data[No. of Chapters])</f>
        <v>63</v>
      </c>
      <c r="AA4" s="39">
        <f>SUM(Master_Data[No. of Chapters])</f>
        <v>63</v>
      </c>
      <c r="AB4" s="39">
        <v>5</v>
      </c>
      <c r="AD4" s="60"/>
    </row>
    <row r="5" spans="1:34" ht="20.100000000000001" customHeight="1">
      <c r="B5" s="266"/>
      <c r="C5" s="266"/>
      <c r="D5" s="266"/>
      <c r="E5" s="266"/>
      <c r="F5" s="266"/>
      <c r="G5" s="266"/>
      <c r="H5" s="266"/>
      <c r="I5" s="266"/>
      <c r="J5" s="266"/>
      <c r="K5" s="266"/>
      <c r="L5" s="266"/>
      <c r="M5" s="266"/>
      <c r="N5" s="266"/>
      <c r="O5" s="266"/>
      <c r="P5" s="266"/>
      <c r="Q5" s="266"/>
      <c r="R5" s="267" t="s">
        <v>31</v>
      </c>
      <c r="S5" s="268"/>
      <c r="T5" s="37">
        <f>SUMIF(Master_Data[Lectures],"d",Master_Data[Duration (hh:mm)])</f>
        <v>0</v>
      </c>
      <c r="U5" s="38">
        <f>T5/T4</f>
        <v>0</v>
      </c>
      <c r="V5" s="40">
        <f>SUMIFS(Master_Data[No. of Chapters],Master_Data[Lectures],"d")</f>
        <v>0</v>
      </c>
      <c r="W5" s="40">
        <f>SUMIFS(Master_Data[No. of Chapters],Master_Data[Self Study],"d")</f>
        <v>0</v>
      </c>
      <c r="X5" s="40">
        <f>SUMIFS(Master_Data[No. of Chapters],Master_Data[Revision],"d")</f>
        <v>0</v>
      </c>
      <c r="Y5" s="40">
        <f>SUMIFS(Master_Data[No. of Chapters],Master_Data[Prac. Book],"d")</f>
        <v>0</v>
      </c>
      <c r="Z5" s="40">
        <f>SUMIFS(Master_Data[No. of Chapters],Master_Data[GARP 10 Yr Papers],"d")</f>
        <v>0</v>
      </c>
      <c r="AA5" s="40">
        <f>SUMIFS(Master_Data[No. of Chapters],Master_Data[GARP EOC Ques.],"d")</f>
        <v>0</v>
      </c>
      <c r="AB5" s="40">
        <f>SUMPRODUCT(Master_Data[Confidence Level],Master_Data[Total weights])</f>
        <v>2.4819819819819804</v>
      </c>
      <c r="AD5" s="60"/>
    </row>
    <row r="6" spans="1:34" ht="20.100000000000001" customHeight="1">
      <c r="B6" s="56"/>
      <c r="C6" s="165"/>
      <c r="D6" s="56"/>
      <c r="E6" s="56"/>
      <c r="F6" s="56"/>
      <c r="G6" s="56"/>
      <c r="H6" s="56"/>
      <c r="I6" s="56"/>
      <c r="J6" s="54"/>
      <c r="K6" s="57" t="s">
        <v>84</v>
      </c>
      <c r="L6" s="57"/>
      <c r="M6" s="58">
        <f>AVERAGE(Master_Data[No. of LOS])</f>
        <v>8.6140350877192979</v>
      </c>
      <c r="N6" s="58">
        <f>AVERAGE(Master_Data[Lengthy])</f>
        <v>3.2280701754385963</v>
      </c>
      <c r="O6" s="58">
        <f>AVERAGE(Master_Data[Numerical or Not])</f>
        <v>2.9298245614035086</v>
      </c>
      <c r="P6" s="58">
        <f>AVERAGE(Master_Data[Diff. Level])</f>
        <v>3.807017543859649</v>
      </c>
      <c r="Q6" s="58">
        <f>AVERAGE(Master_Data[Confusing])</f>
        <v>4.2105263157894735</v>
      </c>
      <c r="R6" s="58">
        <f>AVERAGE(Master_Data[Imp. Level])</f>
        <v>3.8947368421052633</v>
      </c>
      <c r="S6" s="58">
        <f>AVERAGE(Master_Data[Reqd. Prac.])</f>
        <v>4.0175438596491224</v>
      </c>
      <c r="T6" s="59">
        <f>AVERAGE(Master_Data[Duration (hh:mm)])</f>
        <v>0.15787037037037033</v>
      </c>
      <c r="W6" s="46"/>
    </row>
    <row r="7" spans="1:34" ht="20.100000000000001" customHeight="1">
      <c r="B7" s="10">
        <v>1</v>
      </c>
      <c r="C7" s="10">
        <v>2</v>
      </c>
      <c r="D7" s="10"/>
      <c r="E7" s="10"/>
      <c r="F7" s="10"/>
      <c r="G7" s="10"/>
      <c r="H7" s="10">
        <v>3</v>
      </c>
      <c r="I7" s="10">
        <v>4</v>
      </c>
      <c r="J7" s="10"/>
      <c r="K7" s="10">
        <v>5</v>
      </c>
      <c r="L7" s="10"/>
      <c r="M7" s="10">
        <v>6</v>
      </c>
      <c r="N7" s="10">
        <v>7</v>
      </c>
      <c r="O7" s="10">
        <v>8</v>
      </c>
      <c r="P7" s="10">
        <v>9</v>
      </c>
      <c r="Q7" s="10">
        <v>10</v>
      </c>
      <c r="R7" s="10">
        <v>11</v>
      </c>
      <c r="S7" s="10">
        <v>12</v>
      </c>
      <c r="T7" s="10">
        <v>13</v>
      </c>
      <c r="U7" s="10">
        <v>14</v>
      </c>
      <c r="V7" s="10">
        <v>15</v>
      </c>
      <c r="W7" s="10">
        <v>16</v>
      </c>
      <c r="X7" s="10">
        <v>17</v>
      </c>
      <c r="Y7" s="10">
        <v>18</v>
      </c>
      <c r="Z7" s="10">
        <v>19</v>
      </c>
      <c r="AA7" s="10">
        <v>20</v>
      </c>
      <c r="AB7" s="10">
        <v>21</v>
      </c>
      <c r="AC7" s="10">
        <v>22</v>
      </c>
      <c r="AD7" s="1"/>
      <c r="AE7" s="1"/>
      <c r="AF7" s="1"/>
    </row>
    <row r="8" spans="1:34" s="20" customFormat="1" ht="63">
      <c r="B8" s="66" t="s">
        <v>11</v>
      </c>
      <c r="C8" s="66" t="s">
        <v>126</v>
      </c>
      <c r="D8" s="66" t="s">
        <v>115</v>
      </c>
      <c r="E8" s="66" t="s">
        <v>217</v>
      </c>
      <c r="F8" s="66" t="s">
        <v>216</v>
      </c>
      <c r="G8" s="66" t="s">
        <v>215</v>
      </c>
      <c r="H8" s="66" t="s">
        <v>3</v>
      </c>
      <c r="I8" s="66" t="s">
        <v>4</v>
      </c>
      <c r="J8" s="8" t="s">
        <v>94</v>
      </c>
      <c r="K8" s="8" t="s">
        <v>5</v>
      </c>
      <c r="L8" s="8" t="s">
        <v>136</v>
      </c>
      <c r="M8" s="8" t="s">
        <v>65</v>
      </c>
      <c r="N8" s="8" t="s">
        <v>85</v>
      </c>
      <c r="O8" s="8" t="s">
        <v>86</v>
      </c>
      <c r="P8" s="8" t="s">
        <v>87</v>
      </c>
      <c r="Q8" s="8" t="s">
        <v>63</v>
      </c>
      <c r="R8" s="8" t="s">
        <v>88</v>
      </c>
      <c r="S8" s="8" t="s">
        <v>89</v>
      </c>
      <c r="T8" s="8" t="s">
        <v>29</v>
      </c>
      <c r="U8" s="8" t="s">
        <v>90</v>
      </c>
      <c r="V8" s="8" t="s">
        <v>22</v>
      </c>
      <c r="W8" s="8" t="s">
        <v>23</v>
      </c>
      <c r="X8" s="8" t="s">
        <v>24</v>
      </c>
      <c r="Y8" s="8" t="s">
        <v>91</v>
      </c>
      <c r="Z8" s="8" t="s">
        <v>206</v>
      </c>
      <c r="AA8" s="8" t="s">
        <v>207</v>
      </c>
      <c r="AB8" s="8" t="s">
        <v>96</v>
      </c>
      <c r="AC8" s="8" t="s">
        <v>83</v>
      </c>
      <c r="AD8" s="8" t="s">
        <v>99</v>
      </c>
      <c r="AE8" s="8" t="s">
        <v>100</v>
      </c>
      <c r="AF8" s="8" t="s">
        <v>101</v>
      </c>
      <c r="AG8" s="8" t="s">
        <v>18</v>
      </c>
      <c r="AH8" s="8" t="s">
        <v>97</v>
      </c>
    </row>
    <row r="9" spans="1:34" ht="27" customHeight="1">
      <c r="B9" s="3">
        <v>1</v>
      </c>
      <c r="C9" s="166" t="str">
        <f ca="1">IF(Master_Data[[#This Row],[Column1]]="Done","",IF(Master_Data[[#This Row],[Column1]]=MIN(Master_Data[Column1]),"Current Week",CONCATENATE("Week ",Master_Data[[#This Row],[Column1]])))</f>
        <v>Current Week</v>
      </c>
      <c r="D9" s="3">
        <f ca="1">IF(Master_Data[[#This Row],[Cum. Undone hrs]]=0,"Done",ROUNDUP(Master_Data[[#This Row],[Cum. Undone hrs]]/Working!$C$8,0))</f>
        <v>5</v>
      </c>
      <c r="E9" s="3" t="e">
        <f ca="1">IF(OR(D9=D8,D9=D8+1),Master_Data[[#This Row],[Column1]],D9-1)</f>
        <v>#VALUE!</v>
      </c>
      <c r="F9" s="11">
        <f>SUM($G$9:G9)</f>
        <v>0.95625000000000004</v>
      </c>
      <c r="G9" s="256">
        <f>IF(Master_Data[[#This Row],[Lectures]]="D","",Master_Data[[#This Row],[Duration (hh:mm)]])</f>
        <v>0.95625000000000004</v>
      </c>
      <c r="H9" s="2" t="s">
        <v>162</v>
      </c>
      <c r="I9" s="2" t="s">
        <v>220</v>
      </c>
      <c r="J9" s="2" t="s">
        <v>95</v>
      </c>
      <c r="K9" s="36" t="s">
        <v>222</v>
      </c>
      <c r="L9" s="257">
        <v>5</v>
      </c>
      <c r="M9" s="12">
        <v>37</v>
      </c>
      <c r="N9" s="35">
        <v>3</v>
      </c>
      <c r="O9" s="35">
        <v>5</v>
      </c>
      <c r="P9" s="35">
        <v>4</v>
      </c>
      <c r="Q9" s="35">
        <v>4</v>
      </c>
      <c r="R9" s="35">
        <v>4</v>
      </c>
      <c r="S9" s="35">
        <v>4</v>
      </c>
      <c r="T9" s="254">
        <v>0.95625000000000004</v>
      </c>
      <c r="U9" s="34">
        <f>(SUM($T$9:T9)/$T$4)*100</f>
        <v>10.626639913566912</v>
      </c>
      <c r="V9" s="19" t="s">
        <v>6</v>
      </c>
      <c r="W9" s="19" t="s">
        <v>6</v>
      </c>
      <c r="X9" s="19" t="s">
        <v>6</v>
      </c>
      <c r="Y9" s="19" t="s">
        <v>6</v>
      </c>
      <c r="Z9" s="19" t="s">
        <v>6</v>
      </c>
      <c r="AA9" s="19" t="s">
        <v>6</v>
      </c>
      <c r="AB9" s="146">
        <v>2</v>
      </c>
      <c r="AC9" s="13"/>
      <c r="AD9" s="161">
        <f t="shared" ref="AD9:AD40" si="0">R9/SUM($R$9:$R$65)</f>
        <v>1.8018018018018018E-2</v>
      </c>
      <c r="AE9" s="162">
        <f>Master_Data[[#This Row],[Imp. Level]]/SUMIF(Master_Data[Subject],Master_Data[[#This Row],[Subject]],Master_Data[Imp. Level])</f>
        <v>0.10256410256410256</v>
      </c>
      <c r="AF9" s="144">
        <f>Master_Data[[#This Row],[Subjectwise weights]]*Master_Data[[#This Row],[Confidence Level]]</f>
        <v>0.20512820512820512</v>
      </c>
      <c r="AG9" s="145" t="str">
        <f>IF(AND(Master_Data[[#This Row],[Prac. Book]]="D",Master_Data[[#This Row],[GARP EOC Ques.]]="D"),"D","U")</f>
        <v>U</v>
      </c>
      <c r="AH9" s="255" t="str">
        <f>Master_Data[[#This Row],[GARP 10 Yr Papers]]</f>
        <v>U</v>
      </c>
    </row>
    <row r="10" spans="1:34" ht="27" customHeight="1">
      <c r="B10" s="3">
        <v>2</v>
      </c>
      <c r="C10" s="166" t="str">
        <f ca="1">IF(Master_Data[[#This Row],[Column1]]="Done","",IF(Master_Data[[#This Row],[Column1]]=MIN(Master_Data[Column1]),"Current Week",CONCATENATE("Week ",Master_Data[[#This Row],[Column1]])))</f>
        <v>Week 7</v>
      </c>
      <c r="D10" s="3">
        <f ca="1">IF(Master_Data[[#This Row],[Cum. Undone hrs]]=0,"Done",ROUNDUP(Master_Data[[#This Row],[Cum. Undone hrs]]/Working!$C$8,0))</f>
        <v>7</v>
      </c>
      <c r="E10" s="3">
        <f ca="1">IF(OR(D10=D9,D10=D9+1),Master_Data[[#This Row],[Column1]],D10-1)</f>
        <v>6</v>
      </c>
      <c r="F10" s="11">
        <f>SUM($G$9:G10)</f>
        <v>1.2680555555555557</v>
      </c>
      <c r="G10" s="256">
        <f>IF(Master_Data[[#This Row],[Lectures]]="D","",Master_Data[[#This Row],[Duration (hh:mm)]])</f>
        <v>0.31180555555555556</v>
      </c>
      <c r="H10" s="2" t="s">
        <v>162</v>
      </c>
      <c r="I10" s="2">
        <v>17</v>
      </c>
      <c r="J10" s="2" t="s">
        <v>95</v>
      </c>
      <c r="K10" s="36" t="s">
        <v>9</v>
      </c>
      <c r="L10" s="257">
        <v>1</v>
      </c>
      <c r="M10" s="12">
        <v>8</v>
      </c>
      <c r="N10" s="35">
        <v>4</v>
      </c>
      <c r="O10" s="35">
        <v>5</v>
      </c>
      <c r="P10" s="35">
        <v>5</v>
      </c>
      <c r="Q10" s="35">
        <v>5</v>
      </c>
      <c r="R10" s="35">
        <v>4</v>
      </c>
      <c r="S10" s="35">
        <v>4</v>
      </c>
      <c r="T10" s="254">
        <v>0.31180555555555556</v>
      </c>
      <c r="U10" s="34">
        <f>(SUM($T$9:T10)/$T$4)*100</f>
        <v>14.091680814940583</v>
      </c>
      <c r="V10" s="19" t="s">
        <v>6</v>
      </c>
      <c r="W10" s="19" t="s">
        <v>6</v>
      </c>
      <c r="X10" s="19" t="s">
        <v>6</v>
      </c>
      <c r="Y10" s="19" t="s">
        <v>6</v>
      </c>
      <c r="Z10" s="19" t="s">
        <v>6</v>
      </c>
      <c r="AA10" s="19" t="s">
        <v>6</v>
      </c>
      <c r="AB10" s="146">
        <v>2</v>
      </c>
      <c r="AC10" s="13"/>
      <c r="AD10" s="161">
        <f t="shared" si="0"/>
        <v>1.8018018018018018E-2</v>
      </c>
      <c r="AE10" s="162">
        <f>Master_Data[[#This Row],[Imp. Level]]/SUMIF(Master_Data[Subject],Master_Data[[#This Row],[Subject]],Master_Data[Imp. Level])</f>
        <v>0.10256410256410256</v>
      </c>
      <c r="AF10" s="144">
        <f>Master_Data[[#This Row],[Subjectwise weights]]*Master_Data[[#This Row],[Confidence Level]]</f>
        <v>0.20512820512820512</v>
      </c>
      <c r="AG10" s="145" t="str">
        <f>IF(AND(Master_Data[[#This Row],[Prac. Book]]="D",Master_Data[[#This Row],[GARP EOC Ques.]]="D"),"D","U")</f>
        <v>U</v>
      </c>
      <c r="AH10" s="255" t="str">
        <f>Master_Data[[#This Row],[GARP 10 Yr Papers]]</f>
        <v>U</v>
      </c>
    </row>
    <row r="11" spans="1:34" ht="27" customHeight="1">
      <c r="B11" s="3">
        <v>3</v>
      </c>
      <c r="C11" s="166" t="str">
        <f ca="1">IF(Master_Data[[#This Row],[Column1]]="Done","",IF(Master_Data[[#This Row],[Column1]]=MIN(Master_Data[Column1]),"Current Week",CONCATENATE("Week ",Master_Data[[#This Row],[Column1]])))</f>
        <v>Week 7</v>
      </c>
      <c r="D11" s="3">
        <f ca="1">IF(Master_Data[[#This Row],[Cum. Undone hrs]]=0,"Done",ROUNDUP(Master_Data[[#This Row],[Cum. Undone hrs]]/Working!$C$8,0))</f>
        <v>7</v>
      </c>
      <c r="E11" s="3">
        <f ca="1">IF(OR(D11=D10,D11=D10+1),Master_Data[[#This Row],[Column1]],D11-1)</f>
        <v>7</v>
      </c>
      <c r="F11" s="11">
        <f>SUM($G$9:G11)</f>
        <v>1.3423611111111113</v>
      </c>
      <c r="G11" s="256">
        <f>IF(Master_Data[[#This Row],[Lectures]]="D","",Master_Data[[#This Row],[Duration (hh:mm)]])</f>
        <v>7.4305555555555555E-2</v>
      </c>
      <c r="H11" s="2" t="s">
        <v>163</v>
      </c>
      <c r="I11" s="2">
        <v>10</v>
      </c>
      <c r="J11" s="2" t="s">
        <v>95</v>
      </c>
      <c r="K11" s="36" t="s">
        <v>164</v>
      </c>
      <c r="L11" s="257">
        <v>1</v>
      </c>
      <c r="M11" s="12">
        <v>6</v>
      </c>
      <c r="N11" s="35">
        <v>2</v>
      </c>
      <c r="O11" s="35">
        <v>1</v>
      </c>
      <c r="P11" s="35">
        <v>4</v>
      </c>
      <c r="Q11" s="35">
        <v>4</v>
      </c>
      <c r="R11" s="35">
        <v>4</v>
      </c>
      <c r="S11" s="35">
        <v>4</v>
      </c>
      <c r="T11" s="254">
        <v>7.4305555555555555E-2</v>
      </c>
      <c r="U11" s="34">
        <f>(SUM($T$9:T11)/$T$4)*100</f>
        <v>14.917425528630968</v>
      </c>
      <c r="V11" s="19" t="s">
        <v>6</v>
      </c>
      <c r="W11" s="19" t="s">
        <v>6</v>
      </c>
      <c r="X11" s="19" t="s">
        <v>6</v>
      </c>
      <c r="Y11" s="19" t="s">
        <v>6</v>
      </c>
      <c r="Z11" s="19" t="s">
        <v>6</v>
      </c>
      <c r="AA11" s="19" t="s">
        <v>6</v>
      </c>
      <c r="AB11" s="146">
        <v>2</v>
      </c>
      <c r="AC11" s="13"/>
      <c r="AD11" s="161">
        <f t="shared" si="0"/>
        <v>1.8018018018018018E-2</v>
      </c>
      <c r="AE11" s="162">
        <f>Master_Data[[#This Row],[Imp. Level]]/SUMIF(Master_Data[Subject],Master_Data[[#This Row],[Subject]],Master_Data[Imp. Level])</f>
        <v>0.10256410256410256</v>
      </c>
      <c r="AF11" s="144">
        <f>Master_Data[[#This Row],[Subjectwise weights]]*Master_Data[[#This Row],[Confidence Level]]</f>
        <v>0.20512820512820512</v>
      </c>
      <c r="AG11" s="145" t="str">
        <f>IF(AND(Master_Data[[#This Row],[Prac. Book]]="D",Master_Data[[#This Row],[GARP EOC Ques.]]="D"),"D","U")</f>
        <v>U</v>
      </c>
      <c r="AH11" s="255" t="str">
        <f>Master_Data[[#This Row],[GARP 10 Yr Papers]]</f>
        <v>U</v>
      </c>
    </row>
    <row r="12" spans="1:34" ht="27" customHeight="1">
      <c r="B12" s="3">
        <v>4</v>
      </c>
      <c r="C12" s="166" t="str">
        <f ca="1">IF(Master_Data[[#This Row],[Column1]]="Done","",IF(Master_Data[[#This Row],[Column1]]=MIN(Master_Data[Column1]),"Current Week",CONCATENATE("Week ",Master_Data[[#This Row],[Column1]])))</f>
        <v>Week 8</v>
      </c>
      <c r="D12" s="3">
        <f ca="1">IF(Master_Data[[#This Row],[Cum. Undone hrs]]=0,"Done",ROUNDUP(Master_Data[[#This Row],[Cum. Undone hrs]]/Working!$C$8,0))</f>
        <v>8</v>
      </c>
      <c r="E12" s="3">
        <f ca="1">IF(OR(D12=D11,D12=D11+1),Master_Data[[#This Row],[Column1]],D12-1)</f>
        <v>8</v>
      </c>
      <c r="F12" s="11">
        <f>SUM($G$9:G12)</f>
        <v>1.4451388888888892</v>
      </c>
      <c r="G12" s="256">
        <f>IF(Master_Data[[#This Row],[Lectures]]="D","",Master_Data[[#This Row],[Duration (hh:mm)]])</f>
        <v>0.10277777777777777</v>
      </c>
      <c r="H12" s="2" t="s">
        <v>163</v>
      </c>
      <c r="I12" s="2">
        <v>4</v>
      </c>
      <c r="J12" s="2" t="s">
        <v>95</v>
      </c>
      <c r="K12" s="36" t="s">
        <v>165</v>
      </c>
      <c r="L12" s="257">
        <v>1</v>
      </c>
      <c r="M12" s="12">
        <v>4</v>
      </c>
      <c r="N12" s="35">
        <v>3</v>
      </c>
      <c r="O12" s="35">
        <v>1</v>
      </c>
      <c r="P12" s="35">
        <v>4</v>
      </c>
      <c r="Q12" s="35">
        <v>4</v>
      </c>
      <c r="R12" s="35">
        <v>4</v>
      </c>
      <c r="S12" s="35">
        <v>4</v>
      </c>
      <c r="T12" s="254">
        <v>0.10277777777777777</v>
      </c>
      <c r="U12" s="34">
        <f>(SUM($T$9:T12)/$T$4)*100</f>
        <v>16.059577095230754</v>
      </c>
      <c r="V12" s="19" t="s">
        <v>6</v>
      </c>
      <c r="W12" s="19" t="s">
        <v>6</v>
      </c>
      <c r="X12" s="19" t="s">
        <v>6</v>
      </c>
      <c r="Y12" s="19" t="s">
        <v>6</v>
      </c>
      <c r="Z12" s="19" t="s">
        <v>6</v>
      </c>
      <c r="AA12" s="19" t="s">
        <v>6</v>
      </c>
      <c r="AB12" s="146">
        <v>2</v>
      </c>
      <c r="AC12" s="13"/>
      <c r="AD12" s="161">
        <f t="shared" si="0"/>
        <v>1.8018018018018018E-2</v>
      </c>
      <c r="AE12" s="162">
        <f>Master_Data[[#This Row],[Imp. Level]]/SUMIF(Master_Data[Subject],Master_Data[[#This Row],[Subject]],Master_Data[Imp. Level])</f>
        <v>0.10256410256410256</v>
      </c>
      <c r="AF12" s="144">
        <f>Master_Data[[#This Row],[Subjectwise weights]]*Master_Data[[#This Row],[Confidence Level]]</f>
        <v>0.20512820512820512</v>
      </c>
      <c r="AG12" s="145" t="str">
        <f>IF(AND(Master_Data[[#This Row],[Prac. Book]]="D",Master_Data[[#This Row],[GARP EOC Ques.]]="D"),"D","U")</f>
        <v>U</v>
      </c>
      <c r="AH12" s="255" t="str">
        <f>Master_Data[[#This Row],[GARP 10 Yr Papers]]</f>
        <v>U</v>
      </c>
    </row>
    <row r="13" spans="1:34" ht="27" customHeight="1">
      <c r="B13" s="3">
        <v>5</v>
      </c>
      <c r="C13" s="166" t="str">
        <f ca="1">IF(Master_Data[[#This Row],[Column1]]="Done","",IF(Master_Data[[#This Row],[Column1]]=MIN(Master_Data[Column1]),"Current Week",CONCATENATE("Week ",Master_Data[[#This Row],[Column1]])))</f>
        <v>Week 8</v>
      </c>
      <c r="D13" s="3">
        <f ca="1">IF(Master_Data[[#This Row],[Cum. Undone hrs]]=0,"Done",ROUNDUP(Master_Data[[#This Row],[Cum. Undone hrs]]/Working!$C$8,0))</f>
        <v>8</v>
      </c>
      <c r="E13" s="3">
        <f ca="1">IF(OR(D13=D12,D13=D12+1),Master_Data[[#This Row],[Column1]],D13-1)</f>
        <v>8</v>
      </c>
      <c r="F13" s="11">
        <f>SUM($G$9:G13)</f>
        <v>1.5479166666666671</v>
      </c>
      <c r="G13" s="256">
        <f>IF(Master_Data[[#This Row],[Lectures]]="D","",Master_Data[[#This Row],[Duration (hh:mm)]])</f>
        <v>0.10277777777777777</v>
      </c>
      <c r="H13" s="2" t="s">
        <v>162</v>
      </c>
      <c r="I13" s="2">
        <v>18</v>
      </c>
      <c r="J13" s="2" t="s">
        <v>95</v>
      </c>
      <c r="K13" s="36" t="s">
        <v>166</v>
      </c>
      <c r="L13" s="257">
        <v>1</v>
      </c>
      <c r="M13" s="12">
        <v>8</v>
      </c>
      <c r="N13" s="35">
        <v>3</v>
      </c>
      <c r="O13" s="35">
        <v>5</v>
      </c>
      <c r="P13" s="35">
        <v>4</v>
      </c>
      <c r="Q13" s="35">
        <v>4</v>
      </c>
      <c r="R13" s="35">
        <v>3</v>
      </c>
      <c r="S13" s="35">
        <v>4</v>
      </c>
      <c r="T13" s="254">
        <v>0.10277777777777777</v>
      </c>
      <c r="U13" s="34">
        <f>(SUM($T$9:T13)/$T$4)*100</f>
        <v>17.20172866183054</v>
      </c>
      <c r="V13" s="19" t="s">
        <v>6</v>
      </c>
      <c r="W13" s="19" t="s">
        <v>6</v>
      </c>
      <c r="X13" s="19" t="s">
        <v>6</v>
      </c>
      <c r="Y13" s="19" t="s">
        <v>6</v>
      </c>
      <c r="Z13" s="19" t="s">
        <v>6</v>
      </c>
      <c r="AA13" s="19" t="s">
        <v>6</v>
      </c>
      <c r="AB13" s="146">
        <v>3</v>
      </c>
      <c r="AC13" s="13"/>
      <c r="AD13" s="161">
        <f t="shared" si="0"/>
        <v>1.3513513513513514E-2</v>
      </c>
      <c r="AE13" s="162">
        <f>Master_Data[[#This Row],[Imp. Level]]/SUMIF(Master_Data[Subject],Master_Data[[#This Row],[Subject]],Master_Data[Imp. Level])</f>
        <v>7.6923076923076927E-2</v>
      </c>
      <c r="AF13" s="144">
        <f>Master_Data[[#This Row],[Subjectwise weights]]*Master_Data[[#This Row],[Confidence Level]]</f>
        <v>0.23076923076923078</v>
      </c>
      <c r="AG13" s="145" t="str">
        <f>IF(AND(Master_Data[[#This Row],[Prac. Book]]="D",Master_Data[[#This Row],[GARP EOC Ques.]]="D"),"D","U")</f>
        <v>U</v>
      </c>
      <c r="AH13" s="255" t="str">
        <f>Master_Data[[#This Row],[GARP 10 Yr Papers]]</f>
        <v>U</v>
      </c>
    </row>
    <row r="14" spans="1:34" ht="27" customHeight="1">
      <c r="B14" s="3">
        <v>6</v>
      </c>
      <c r="C14" s="166" t="str">
        <f ca="1">IF(Master_Data[[#This Row],[Column1]]="Done","",IF(Master_Data[[#This Row],[Column1]]=MIN(Master_Data[Column1]),"Current Week",CONCATENATE("Week ",Master_Data[[#This Row],[Column1]])))</f>
        <v>Week 9</v>
      </c>
      <c r="D14" s="3">
        <f ca="1">IF(Master_Data[[#This Row],[Cum. Undone hrs]]=0,"Done",ROUNDUP(Master_Data[[#This Row],[Cum. Undone hrs]]/Working!$C$8,0))</f>
        <v>9</v>
      </c>
      <c r="E14" s="3">
        <f ca="1">IF(OR(D14=D13,D14=D13+1),Master_Data[[#This Row],[Column1]],D14-1)</f>
        <v>9</v>
      </c>
      <c r="F14" s="11">
        <f>SUM($G$9:G14)</f>
        <v>1.6458333333333337</v>
      </c>
      <c r="G14" s="256">
        <f>IF(Master_Data[[#This Row],[Lectures]]="D","",Master_Data[[#This Row],[Duration (hh:mm)]])</f>
        <v>9.7916666666666666E-2</v>
      </c>
      <c r="H14" s="2" t="s">
        <v>162</v>
      </c>
      <c r="I14" s="2">
        <v>19</v>
      </c>
      <c r="J14" s="2" t="s">
        <v>95</v>
      </c>
      <c r="K14" s="36" t="s">
        <v>167</v>
      </c>
      <c r="L14" s="257">
        <v>1</v>
      </c>
      <c r="M14" s="12">
        <v>5</v>
      </c>
      <c r="N14" s="35">
        <v>4</v>
      </c>
      <c r="O14" s="35">
        <v>4</v>
      </c>
      <c r="P14" s="35">
        <v>4</v>
      </c>
      <c r="Q14" s="35">
        <v>4</v>
      </c>
      <c r="R14" s="35">
        <v>4</v>
      </c>
      <c r="S14" s="35">
        <v>4</v>
      </c>
      <c r="T14" s="254">
        <v>9.7916666666666666E-2</v>
      </c>
      <c r="U14" s="34">
        <f>(SUM($T$9:T14)/$T$4)*100</f>
        <v>18.289859546226278</v>
      </c>
      <c r="V14" s="19" t="s">
        <v>6</v>
      </c>
      <c r="W14" s="19" t="s">
        <v>6</v>
      </c>
      <c r="X14" s="19" t="s">
        <v>6</v>
      </c>
      <c r="Y14" s="19" t="s">
        <v>6</v>
      </c>
      <c r="Z14" s="19" t="s">
        <v>6</v>
      </c>
      <c r="AA14" s="19" t="s">
        <v>6</v>
      </c>
      <c r="AB14" s="146">
        <v>3</v>
      </c>
      <c r="AC14" s="13"/>
      <c r="AD14" s="161">
        <f t="shared" si="0"/>
        <v>1.8018018018018018E-2</v>
      </c>
      <c r="AE14" s="162">
        <f>Master_Data[[#This Row],[Imp. Level]]/SUMIF(Master_Data[Subject],Master_Data[[#This Row],[Subject]],Master_Data[Imp. Level])</f>
        <v>0.10256410256410256</v>
      </c>
      <c r="AF14" s="144">
        <f>Master_Data[[#This Row],[Subjectwise weights]]*Master_Data[[#This Row],[Confidence Level]]</f>
        <v>0.30769230769230771</v>
      </c>
      <c r="AG14" s="145" t="str">
        <f>IF(AND(Master_Data[[#This Row],[Prac. Book]]="D",Master_Data[[#This Row],[GARP EOC Ques.]]="D"),"D","U")</f>
        <v>U</v>
      </c>
      <c r="AH14" s="255" t="str">
        <f>Master_Data[[#This Row],[GARP 10 Yr Papers]]</f>
        <v>U</v>
      </c>
    </row>
    <row r="15" spans="1:34" ht="27" customHeight="1">
      <c r="B15" s="3">
        <v>7</v>
      </c>
      <c r="C15" s="166" t="str">
        <f ca="1">IF(Master_Data[[#This Row],[Column1]]="Done","",IF(Master_Data[[#This Row],[Column1]]=MIN(Master_Data[Column1]),"Current Week",CONCATENATE("Week ",Master_Data[[#This Row],[Column1]])))</f>
        <v>Week 9</v>
      </c>
      <c r="D15" s="3">
        <f ca="1">IF(Master_Data[[#This Row],[Cum. Undone hrs]]=0,"Done",ROUNDUP(Master_Data[[#This Row],[Cum. Undone hrs]]/Working!$C$8,0))</f>
        <v>9</v>
      </c>
      <c r="E15" s="3">
        <f ca="1">IF(OR(D15=D14,D15=D14+1),Master_Data[[#This Row],[Column1]],D15-1)</f>
        <v>9</v>
      </c>
      <c r="F15" s="11">
        <f>SUM($G$9:G15)</f>
        <v>1.7159722222222227</v>
      </c>
      <c r="G15" s="256">
        <f>IF(Master_Data[[#This Row],[Lectures]]="D","",Master_Data[[#This Row],[Duration (hh:mm)]])</f>
        <v>7.013888888888889E-2</v>
      </c>
      <c r="H15" s="2" t="s">
        <v>162</v>
      </c>
      <c r="I15" s="2">
        <v>20</v>
      </c>
      <c r="J15" s="2" t="s">
        <v>95</v>
      </c>
      <c r="K15" s="36" t="s">
        <v>168</v>
      </c>
      <c r="L15" s="257">
        <v>1</v>
      </c>
      <c r="M15" s="12">
        <v>8</v>
      </c>
      <c r="N15" s="35">
        <v>3</v>
      </c>
      <c r="O15" s="35">
        <v>4</v>
      </c>
      <c r="P15" s="35">
        <v>5</v>
      </c>
      <c r="Q15" s="35">
        <v>5</v>
      </c>
      <c r="R15" s="35">
        <v>4</v>
      </c>
      <c r="S15" s="35">
        <v>4</v>
      </c>
      <c r="T15" s="254">
        <v>7.013888888888889E-2</v>
      </c>
      <c r="U15" s="34">
        <f>(SUM($T$9:T15)/$T$4)*100</f>
        <v>19.069300818027486</v>
      </c>
      <c r="V15" s="19" t="s">
        <v>6</v>
      </c>
      <c r="W15" s="19" t="s">
        <v>6</v>
      </c>
      <c r="X15" s="19" t="s">
        <v>6</v>
      </c>
      <c r="Y15" s="19" t="s">
        <v>6</v>
      </c>
      <c r="Z15" s="19" t="s">
        <v>6</v>
      </c>
      <c r="AA15" s="19" t="s">
        <v>6</v>
      </c>
      <c r="AB15" s="146">
        <v>2</v>
      </c>
      <c r="AC15" s="13"/>
      <c r="AD15" s="161">
        <f t="shared" si="0"/>
        <v>1.8018018018018018E-2</v>
      </c>
      <c r="AE15" s="162">
        <f>Master_Data[[#This Row],[Imp. Level]]/SUMIF(Master_Data[Subject],Master_Data[[#This Row],[Subject]],Master_Data[Imp. Level])</f>
        <v>0.10256410256410256</v>
      </c>
      <c r="AF15" s="144">
        <f>Master_Data[[#This Row],[Subjectwise weights]]*Master_Data[[#This Row],[Confidence Level]]</f>
        <v>0.20512820512820512</v>
      </c>
      <c r="AG15" s="145" t="str">
        <f>IF(AND(Master_Data[[#This Row],[Prac. Book]]="D",Master_Data[[#This Row],[GARP EOC Ques.]]="D"),"D","U")</f>
        <v>U</v>
      </c>
      <c r="AH15" s="255" t="str">
        <f>Master_Data[[#This Row],[GARP 10 Yr Papers]]</f>
        <v>U</v>
      </c>
    </row>
    <row r="16" spans="1:34" ht="27" customHeight="1">
      <c r="B16" s="3">
        <v>8</v>
      </c>
      <c r="C16" s="166" t="str">
        <f ca="1">IF(Master_Data[[#This Row],[Column1]]="Done","",IF(Master_Data[[#This Row],[Column1]]=MIN(Master_Data[Column1]),"Current Week",CONCATENATE("Week ",Master_Data[[#This Row],[Column1]])))</f>
        <v>Week 10</v>
      </c>
      <c r="D16" s="3">
        <f ca="1">IF(Master_Data[[#This Row],[Cum. Undone hrs]]=0,"Done",ROUNDUP(Master_Data[[#This Row],[Cum. Undone hrs]]/Working!$C$8,0))</f>
        <v>10</v>
      </c>
      <c r="E16" s="3">
        <f ca="1">IF(OR(D16=D15,D16=D15+1),Master_Data[[#This Row],[Column1]],D16-1)</f>
        <v>10</v>
      </c>
      <c r="F16" s="11">
        <f>SUM($G$9:G16)</f>
        <v>1.8027777777777783</v>
      </c>
      <c r="G16" s="256">
        <f>IF(Master_Data[[#This Row],[Lectures]]="D","",Master_Data[[#This Row],[Duration (hh:mm)]])</f>
        <v>8.6805555555555552E-2</v>
      </c>
      <c r="H16" s="2" t="s">
        <v>169</v>
      </c>
      <c r="I16" s="2">
        <v>27</v>
      </c>
      <c r="J16" s="2" t="s">
        <v>95</v>
      </c>
      <c r="K16" s="36" t="s">
        <v>170</v>
      </c>
      <c r="L16" s="257">
        <v>1</v>
      </c>
      <c r="M16" s="12">
        <v>8</v>
      </c>
      <c r="N16" s="35">
        <v>2</v>
      </c>
      <c r="O16" s="35">
        <v>1</v>
      </c>
      <c r="P16" s="35">
        <v>3</v>
      </c>
      <c r="Q16" s="35">
        <v>3</v>
      </c>
      <c r="R16" s="35">
        <v>3</v>
      </c>
      <c r="S16" s="35">
        <v>4</v>
      </c>
      <c r="T16" s="254">
        <v>8.6805555555555552E-2</v>
      </c>
      <c r="U16" s="34">
        <f>(SUM($T$9:T16)/$T$4)*100</f>
        <v>20.033955857385411</v>
      </c>
      <c r="V16" s="19" t="s">
        <v>6</v>
      </c>
      <c r="W16" s="19" t="s">
        <v>6</v>
      </c>
      <c r="X16" s="19" t="s">
        <v>6</v>
      </c>
      <c r="Y16" s="19" t="s">
        <v>6</v>
      </c>
      <c r="Z16" s="19" t="s">
        <v>6</v>
      </c>
      <c r="AA16" s="19" t="s">
        <v>6</v>
      </c>
      <c r="AB16" s="146">
        <v>2</v>
      </c>
      <c r="AC16" s="13"/>
      <c r="AD16" s="161">
        <f t="shared" si="0"/>
        <v>1.3513513513513514E-2</v>
      </c>
      <c r="AE16" s="162">
        <f>Master_Data[[#This Row],[Imp. Level]]/SUMIF(Master_Data[Subject],Master_Data[[#This Row],[Subject]],Master_Data[Imp. Level])</f>
        <v>3.7499999999999999E-2</v>
      </c>
      <c r="AF16" s="144">
        <f>Master_Data[[#This Row],[Subjectwise weights]]*Master_Data[[#This Row],[Confidence Level]]</f>
        <v>7.4999999999999997E-2</v>
      </c>
      <c r="AG16" s="145" t="str">
        <f>IF(AND(Master_Data[[#This Row],[Prac. Book]]="D",Master_Data[[#This Row],[GARP EOC Ques.]]="D"),"D","U")</f>
        <v>U</v>
      </c>
      <c r="AH16" s="255" t="str">
        <f>Master_Data[[#This Row],[GARP 10 Yr Papers]]</f>
        <v>U</v>
      </c>
    </row>
    <row r="17" spans="2:34" ht="27" customHeight="1">
      <c r="B17" s="3">
        <v>9</v>
      </c>
      <c r="C17" s="166" t="str">
        <f ca="1">IF(Master_Data[[#This Row],[Column1]]="Done","",IF(Master_Data[[#This Row],[Column1]]=MIN(Master_Data[Column1]),"Current Week",CONCATENATE("Week ",Master_Data[[#This Row],[Column1]])))</f>
        <v>Week 10</v>
      </c>
      <c r="D17" s="3">
        <f ca="1">IF(Master_Data[[#This Row],[Cum. Undone hrs]]=0,"Done",ROUNDUP(Master_Data[[#This Row],[Cum. Undone hrs]]/Working!$C$8,0))</f>
        <v>10</v>
      </c>
      <c r="E17" s="3">
        <f ca="1">IF(OR(D17=D16,D17=D16+1),Master_Data[[#This Row],[Column1]],D17-1)</f>
        <v>10</v>
      </c>
      <c r="F17" s="11">
        <f>SUM($G$9:G17)</f>
        <v>1.9041666666666672</v>
      </c>
      <c r="G17" s="256">
        <f>IF(Master_Data[[#This Row],[Lectures]]="D","",Master_Data[[#This Row],[Duration (hh:mm)]])</f>
        <v>0.10138888888888889</v>
      </c>
      <c r="H17" s="2" t="s">
        <v>169</v>
      </c>
      <c r="I17" s="2">
        <v>28</v>
      </c>
      <c r="J17" s="2" t="s">
        <v>95</v>
      </c>
      <c r="K17" s="36" t="s">
        <v>171</v>
      </c>
      <c r="L17" s="257">
        <v>1</v>
      </c>
      <c r="M17" s="12">
        <v>9</v>
      </c>
      <c r="N17" s="35">
        <v>3</v>
      </c>
      <c r="O17" s="35">
        <v>2</v>
      </c>
      <c r="P17" s="35">
        <v>3</v>
      </c>
      <c r="Q17" s="35">
        <v>4</v>
      </c>
      <c r="R17" s="35">
        <v>3</v>
      </c>
      <c r="S17" s="35">
        <v>4</v>
      </c>
      <c r="T17" s="254">
        <v>0.10138888888888889</v>
      </c>
      <c r="U17" s="34">
        <f>(SUM($T$9:T17)/$T$4)*100</f>
        <v>21.160672943355468</v>
      </c>
      <c r="V17" s="19" t="s">
        <v>6</v>
      </c>
      <c r="W17" s="19" t="s">
        <v>6</v>
      </c>
      <c r="X17" s="19" t="s">
        <v>6</v>
      </c>
      <c r="Y17" s="19" t="s">
        <v>6</v>
      </c>
      <c r="Z17" s="19" t="s">
        <v>6</v>
      </c>
      <c r="AA17" s="19" t="s">
        <v>6</v>
      </c>
      <c r="AB17" s="146">
        <v>3</v>
      </c>
      <c r="AC17" s="13"/>
      <c r="AD17" s="161">
        <f t="shared" si="0"/>
        <v>1.3513513513513514E-2</v>
      </c>
      <c r="AE17" s="162">
        <f>Master_Data[[#This Row],[Imp. Level]]/SUMIF(Master_Data[Subject],Master_Data[[#This Row],[Subject]],Master_Data[Imp. Level])</f>
        <v>3.7499999999999999E-2</v>
      </c>
      <c r="AF17" s="144">
        <f>Master_Data[[#This Row],[Subjectwise weights]]*Master_Data[[#This Row],[Confidence Level]]</f>
        <v>0.11249999999999999</v>
      </c>
      <c r="AG17" s="145" t="str">
        <f>IF(AND(Master_Data[[#This Row],[Prac. Book]]="D",Master_Data[[#This Row],[GARP EOC Ques.]]="D"),"D","U")</f>
        <v>U</v>
      </c>
      <c r="AH17" s="255" t="str">
        <f>Master_Data[[#This Row],[GARP 10 Yr Papers]]</f>
        <v>U</v>
      </c>
    </row>
    <row r="18" spans="2:34" ht="27" customHeight="1">
      <c r="B18" s="3">
        <v>10</v>
      </c>
      <c r="C18" s="166" t="str">
        <f ca="1">IF(Master_Data[[#This Row],[Column1]]="Done","",IF(Master_Data[[#This Row],[Column1]]=MIN(Master_Data[Column1]),"Current Week",CONCATENATE("Week ",Master_Data[[#This Row],[Column1]])))</f>
        <v>Week 12</v>
      </c>
      <c r="D18" s="3">
        <f ca="1">IF(Master_Data[[#This Row],[Cum. Undone hrs]]=0,"Done",ROUNDUP(Master_Data[[#This Row],[Cum. Undone hrs]]/Working!$C$8,0))</f>
        <v>12</v>
      </c>
      <c r="E18" s="3">
        <f ca="1">IF(OR(D18=D17,D18=D17+1),Master_Data[[#This Row],[Column1]],D18-1)</f>
        <v>11</v>
      </c>
      <c r="F18" s="11">
        <f>SUM($G$9:G18)</f>
        <v>2.3006944444444448</v>
      </c>
      <c r="G18" s="256">
        <f>IF(Master_Data[[#This Row],[Lectures]]="D","",Master_Data[[#This Row],[Duration (hh:mm)]])</f>
        <v>0.39652777777777776</v>
      </c>
      <c r="H18" s="2" t="s">
        <v>163</v>
      </c>
      <c r="I18" s="2">
        <v>5</v>
      </c>
      <c r="J18" s="2" t="s">
        <v>95</v>
      </c>
      <c r="K18" s="36" t="s">
        <v>208</v>
      </c>
      <c r="L18" s="257">
        <v>1</v>
      </c>
      <c r="M18" s="12">
        <v>7</v>
      </c>
      <c r="N18" s="35">
        <v>4</v>
      </c>
      <c r="O18" s="35">
        <v>4</v>
      </c>
      <c r="P18" s="35">
        <v>4</v>
      </c>
      <c r="Q18" s="35">
        <v>4</v>
      </c>
      <c r="R18" s="35">
        <v>5</v>
      </c>
      <c r="S18" s="35">
        <v>4</v>
      </c>
      <c r="T18" s="254">
        <v>0.39652777777777776</v>
      </c>
      <c r="U18" s="34">
        <f>(SUM($T$9:T18)/$T$4)*100</f>
        <v>25.567217163142473</v>
      </c>
      <c r="V18" s="19" t="s">
        <v>6</v>
      </c>
      <c r="W18" s="19" t="s">
        <v>6</v>
      </c>
      <c r="X18" s="19" t="s">
        <v>6</v>
      </c>
      <c r="Y18" s="19" t="s">
        <v>6</v>
      </c>
      <c r="Z18" s="19" t="s">
        <v>6</v>
      </c>
      <c r="AA18" s="19" t="s">
        <v>6</v>
      </c>
      <c r="AB18" s="146">
        <v>2</v>
      </c>
      <c r="AC18" s="13"/>
      <c r="AD18" s="161">
        <f t="shared" si="0"/>
        <v>2.2522522522522521E-2</v>
      </c>
      <c r="AE18" s="162">
        <f>Master_Data[[#This Row],[Imp. Level]]/SUMIF(Master_Data[Subject],Master_Data[[#This Row],[Subject]],Master_Data[Imp. Level])</f>
        <v>0.12820512820512819</v>
      </c>
      <c r="AF18" s="144">
        <f>Master_Data[[#This Row],[Subjectwise weights]]*Master_Data[[#This Row],[Confidence Level]]</f>
        <v>0.25641025641025639</v>
      </c>
      <c r="AG18" s="145" t="str">
        <f>IF(AND(Master_Data[[#This Row],[Prac. Book]]="D",Master_Data[[#This Row],[GARP EOC Ques.]]="D"),"D","U")</f>
        <v>U</v>
      </c>
      <c r="AH18" s="255" t="str">
        <f>Master_Data[[#This Row],[GARP 10 Yr Papers]]</f>
        <v>U</v>
      </c>
    </row>
    <row r="19" spans="2:34" ht="27" customHeight="1">
      <c r="B19" s="3">
        <v>11</v>
      </c>
      <c r="C19" s="166" t="str">
        <f ca="1">IF(Master_Data[[#This Row],[Column1]]="Done","",IF(Master_Data[[#This Row],[Column1]]=MIN(Master_Data[Column1]),"Current Week",CONCATENATE("Week ",Master_Data[[#This Row],[Column1]])))</f>
        <v>Week 13</v>
      </c>
      <c r="D19" s="3">
        <f ca="1">IF(Master_Data[[#This Row],[Cum. Undone hrs]]=0,"Done",ROUNDUP(Master_Data[[#This Row],[Cum. Undone hrs]]/Working!$C$8,0))</f>
        <v>13</v>
      </c>
      <c r="E19" s="3">
        <f ca="1">IF(OR(D19=D18,D19=D18+1),Master_Data[[#This Row],[Column1]],D19-1)</f>
        <v>13</v>
      </c>
      <c r="F19" s="11">
        <f>SUM($G$9:G19)</f>
        <v>2.3819444444444446</v>
      </c>
      <c r="G19" s="256">
        <f>IF(Master_Data[[#This Row],[Lectures]]="D","",Master_Data[[#This Row],[Duration (hh:mm)]])</f>
        <v>8.1250000000000003E-2</v>
      </c>
      <c r="H19" s="2" t="s">
        <v>163</v>
      </c>
      <c r="I19" s="2">
        <v>6</v>
      </c>
      <c r="J19" s="2" t="s">
        <v>95</v>
      </c>
      <c r="K19" s="36" t="s">
        <v>209</v>
      </c>
      <c r="L19" s="257">
        <v>1</v>
      </c>
      <c r="M19" s="12">
        <v>5</v>
      </c>
      <c r="N19" s="35">
        <v>3</v>
      </c>
      <c r="O19" s="35">
        <v>4</v>
      </c>
      <c r="P19" s="35">
        <v>4</v>
      </c>
      <c r="Q19" s="35">
        <v>5</v>
      </c>
      <c r="R19" s="35">
        <v>4</v>
      </c>
      <c r="S19" s="35">
        <v>4</v>
      </c>
      <c r="T19" s="254">
        <v>8.1250000000000003E-2</v>
      </c>
      <c r="U19" s="34">
        <f>(SUM($T$9:T19)/$T$4)*100</f>
        <v>26.47013427998149</v>
      </c>
      <c r="V19" s="19" t="s">
        <v>6</v>
      </c>
      <c r="W19" s="19" t="s">
        <v>6</v>
      </c>
      <c r="X19" s="19" t="s">
        <v>6</v>
      </c>
      <c r="Y19" s="19" t="s">
        <v>6</v>
      </c>
      <c r="Z19" s="19" t="s">
        <v>6</v>
      </c>
      <c r="AA19" s="19" t="s">
        <v>6</v>
      </c>
      <c r="AB19" s="146">
        <v>3</v>
      </c>
      <c r="AC19" s="13"/>
      <c r="AD19" s="161">
        <f t="shared" si="0"/>
        <v>1.8018018018018018E-2</v>
      </c>
      <c r="AE19" s="162">
        <f>Master_Data[[#This Row],[Imp. Level]]/SUMIF(Master_Data[Subject],Master_Data[[#This Row],[Subject]],Master_Data[Imp. Level])</f>
        <v>0.10256410256410256</v>
      </c>
      <c r="AF19" s="144">
        <f>Master_Data[[#This Row],[Subjectwise weights]]*Master_Data[[#This Row],[Confidence Level]]</f>
        <v>0.30769230769230771</v>
      </c>
      <c r="AG19" s="145" t="str">
        <f>IF(AND(Master_Data[[#This Row],[Prac. Book]]="D",Master_Data[[#This Row],[GARP EOC Ques.]]="D"),"D","U")</f>
        <v>U</v>
      </c>
      <c r="AH19" s="255" t="str">
        <f>Master_Data[[#This Row],[GARP 10 Yr Papers]]</f>
        <v>U</v>
      </c>
    </row>
    <row r="20" spans="2:34" ht="27" customHeight="1">
      <c r="B20" s="3">
        <v>12</v>
      </c>
      <c r="C20" s="166" t="str">
        <f ca="1">IF(Master_Data[[#This Row],[Column1]]="Done","",IF(Master_Data[[#This Row],[Column1]]=MIN(Master_Data[Column1]),"Current Week",CONCATENATE("Week ",Master_Data[[#This Row],[Column1]])))</f>
        <v>Week 14</v>
      </c>
      <c r="D20" s="3">
        <f ca="1">IF(Master_Data[[#This Row],[Cum. Undone hrs]]=0,"Done",ROUNDUP(Master_Data[[#This Row],[Cum. Undone hrs]]/Working!$C$8,0))</f>
        <v>14</v>
      </c>
      <c r="E20" s="3">
        <f ca="1">IF(OR(D20=D19,D20=D19+1),Master_Data[[#This Row],[Column1]],D20-1)</f>
        <v>14</v>
      </c>
      <c r="F20" s="11">
        <f>SUM($G$9:G20)</f>
        <v>2.5854166666666667</v>
      </c>
      <c r="G20" s="256">
        <f>IF(Master_Data[[#This Row],[Lectures]]="D","",Master_Data[[#This Row],[Duration (hh:mm)]])</f>
        <v>0.20347222222222222</v>
      </c>
      <c r="H20" s="2" t="s">
        <v>169</v>
      </c>
      <c r="I20" s="2">
        <v>29</v>
      </c>
      <c r="J20" s="2" t="s">
        <v>95</v>
      </c>
      <c r="K20" s="36" t="s">
        <v>172</v>
      </c>
      <c r="L20" s="257">
        <v>1</v>
      </c>
      <c r="M20" s="12">
        <v>7</v>
      </c>
      <c r="N20" s="35">
        <v>3</v>
      </c>
      <c r="O20" s="35">
        <v>2</v>
      </c>
      <c r="P20" s="35">
        <v>3</v>
      </c>
      <c r="Q20" s="35">
        <v>4</v>
      </c>
      <c r="R20" s="35">
        <v>3</v>
      </c>
      <c r="S20" s="35">
        <v>4</v>
      </c>
      <c r="T20" s="254">
        <v>0.20347222222222222</v>
      </c>
      <c r="U20" s="34">
        <f>(SUM($T$9:T20)/$T$4)*100</f>
        <v>28.731285692236462</v>
      </c>
      <c r="V20" s="19" t="s">
        <v>6</v>
      </c>
      <c r="W20" s="19" t="s">
        <v>6</v>
      </c>
      <c r="X20" s="19" t="s">
        <v>6</v>
      </c>
      <c r="Y20" s="19" t="s">
        <v>6</v>
      </c>
      <c r="Z20" s="19" t="s">
        <v>6</v>
      </c>
      <c r="AA20" s="19" t="s">
        <v>6</v>
      </c>
      <c r="AB20" s="146">
        <v>3</v>
      </c>
      <c r="AC20" s="13"/>
      <c r="AD20" s="161">
        <f t="shared" si="0"/>
        <v>1.3513513513513514E-2</v>
      </c>
      <c r="AE20" s="162">
        <f>Master_Data[[#This Row],[Imp. Level]]/SUMIF(Master_Data[Subject],Master_Data[[#This Row],[Subject]],Master_Data[Imp. Level])</f>
        <v>3.7499999999999999E-2</v>
      </c>
      <c r="AF20" s="144">
        <f>Master_Data[[#This Row],[Subjectwise weights]]*Master_Data[[#This Row],[Confidence Level]]</f>
        <v>0.11249999999999999</v>
      </c>
      <c r="AG20" s="145" t="str">
        <f>IF(AND(Master_Data[[#This Row],[Prac. Book]]="D",Master_Data[[#This Row],[GARP EOC Ques.]]="D"),"D","U")</f>
        <v>U</v>
      </c>
      <c r="AH20" s="255" t="str">
        <f>Master_Data[[#This Row],[GARP 10 Yr Papers]]</f>
        <v>U</v>
      </c>
    </row>
    <row r="21" spans="2:34" ht="27" customHeight="1">
      <c r="B21" s="3">
        <v>13</v>
      </c>
      <c r="C21" s="166" t="str">
        <f ca="1">IF(Master_Data[[#This Row],[Column1]]="Done","",IF(Master_Data[[#This Row],[Column1]]=MIN(Master_Data[Column1]),"Current Week",CONCATENATE("Week ",Master_Data[[#This Row],[Column1]])))</f>
        <v>Week 14</v>
      </c>
      <c r="D21" s="3">
        <f ca="1">IF(Master_Data[[#This Row],[Cum. Undone hrs]]=0,"Done",ROUNDUP(Master_Data[[#This Row],[Cum. Undone hrs]]/Working!$C$8,0))</f>
        <v>14</v>
      </c>
      <c r="E21" s="3">
        <f ca="1">IF(OR(D21=D20,D21=D20+1),Master_Data[[#This Row],[Column1]],D21-1)</f>
        <v>14</v>
      </c>
      <c r="F21" s="11">
        <f>SUM($G$9:G21)</f>
        <v>2.682638888888889</v>
      </c>
      <c r="G21" s="256">
        <f>IF(Master_Data[[#This Row],[Lectures]]="D","",Master_Data[[#This Row],[Duration (hh:mm)]])</f>
        <v>9.7222222222222224E-2</v>
      </c>
      <c r="H21" s="2" t="s">
        <v>162</v>
      </c>
      <c r="I21" s="2">
        <v>21</v>
      </c>
      <c r="J21" s="2" t="s">
        <v>95</v>
      </c>
      <c r="K21" s="36" t="s">
        <v>173</v>
      </c>
      <c r="L21" s="257">
        <v>1</v>
      </c>
      <c r="M21" s="12">
        <v>14</v>
      </c>
      <c r="N21" s="35">
        <v>3</v>
      </c>
      <c r="O21" s="35">
        <v>3</v>
      </c>
      <c r="P21" s="35">
        <v>5</v>
      </c>
      <c r="Q21" s="35">
        <v>5</v>
      </c>
      <c r="R21" s="35">
        <v>4</v>
      </c>
      <c r="S21" s="35">
        <v>4</v>
      </c>
      <c r="T21" s="254">
        <v>9.7222222222222224E-2</v>
      </c>
      <c r="U21" s="34">
        <f>(SUM($T$9:T21)/$T$4)*100</f>
        <v>29.811699336317343</v>
      </c>
      <c r="V21" s="19" t="s">
        <v>6</v>
      </c>
      <c r="W21" s="19" t="s">
        <v>6</v>
      </c>
      <c r="X21" s="19" t="s">
        <v>6</v>
      </c>
      <c r="Y21" s="19" t="s">
        <v>6</v>
      </c>
      <c r="Z21" s="19" t="s">
        <v>6</v>
      </c>
      <c r="AA21" s="19" t="s">
        <v>6</v>
      </c>
      <c r="AB21" s="146">
        <v>3</v>
      </c>
      <c r="AC21" s="13"/>
      <c r="AD21" s="161">
        <f t="shared" si="0"/>
        <v>1.8018018018018018E-2</v>
      </c>
      <c r="AE21" s="162">
        <f>Master_Data[[#This Row],[Imp. Level]]/SUMIF(Master_Data[Subject],Master_Data[[#This Row],[Subject]],Master_Data[Imp. Level])</f>
        <v>0.10256410256410256</v>
      </c>
      <c r="AF21" s="144">
        <f>Master_Data[[#This Row],[Subjectwise weights]]*Master_Data[[#This Row],[Confidence Level]]</f>
        <v>0.30769230769230771</v>
      </c>
      <c r="AG21" s="145" t="str">
        <f>IF(AND(Master_Data[[#This Row],[Prac. Book]]="D",Master_Data[[#This Row],[GARP EOC Ques.]]="D"),"D","U")</f>
        <v>U</v>
      </c>
      <c r="AH21" s="255" t="str">
        <f>Master_Data[[#This Row],[GARP 10 Yr Papers]]</f>
        <v>U</v>
      </c>
    </row>
    <row r="22" spans="2:34" ht="27" customHeight="1">
      <c r="B22" s="3">
        <v>14</v>
      </c>
      <c r="C22" s="166" t="str">
        <f ca="1">IF(Master_Data[[#This Row],[Column1]]="Done","",IF(Master_Data[[#This Row],[Column1]]=MIN(Master_Data[Column1]),"Current Week",CONCATENATE("Week ",Master_Data[[#This Row],[Column1]])))</f>
        <v>Week 15</v>
      </c>
      <c r="D22" s="3">
        <f ca="1">IF(Master_Data[[#This Row],[Cum. Undone hrs]]=0,"Done",ROUNDUP(Master_Data[[#This Row],[Cum. Undone hrs]]/Working!$C$8,0))</f>
        <v>15</v>
      </c>
      <c r="E22" s="3">
        <f ca="1">IF(OR(D22=D21,D22=D21+1),Master_Data[[#This Row],[Column1]],D22-1)</f>
        <v>15</v>
      </c>
      <c r="F22" s="11">
        <f>SUM($G$9:G22)</f>
        <v>2.7576388888888892</v>
      </c>
      <c r="G22" s="256">
        <f>IF(Master_Data[[#This Row],[Lectures]]="D","",Master_Data[[#This Row],[Duration (hh:mm)]])</f>
        <v>7.4999999999999997E-2</v>
      </c>
      <c r="H22" s="2" t="s">
        <v>162</v>
      </c>
      <c r="I22" s="2">
        <v>22</v>
      </c>
      <c r="J22" s="2" t="s">
        <v>95</v>
      </c>
      <c r="K22" s="36" t="s">
        <v>174</v>
      </c>
      <c r="L22" s="257">
        <v>1</v>
      </c>
      <c r="M22" s="12">
        <v>7</v>
      </c>
      <c r="N22" s="35">
        <v>3</v>
      </c>
      <c r="O22" s="35">
        <v>4</v>
      </c>
      <c r="P22" s="35">
        <v>5</v>
      </c>
      <c r="Q22" s="35">
        <v>5</v>
      </c>
      <c r="R22" s="35">
        <v>4</v>
      </c>
      <c r="S22" s="35">
        <v>4</v>
      </c>
      <c r="T22" s="254">
        <v>7.4999999999999997E-2</v>
      </c>
      <c r="U22" s="34">
        <f>(SUM($T$9:T22)/$T$4)*100</f>
        <v>30.645161290322591</v>
      </c>
      <c r="V22" s="19" t="s">
        <v>6</v>
      </c>
      <c r="W22" s="19" t="s">
        <v>6</v>
      </c>
      <c r="X22" s="19" t="s">
        <v>6</v>
      </c>
      <c r="Y22" s="19" t="s">
        <v>6</v>
      </c>
      <c r="Z22" s="19" t="s">
        <v>6</v>
      </c>
      <c r="AA22" s="19" t="s">
        <v>6</v>
      </c>
      <c r="AB22" s="146">
        <v>2</v>
      </c>
      <c r="AC22" s="13"/>
      <c r="AD22" s="161">
        <f t="shared" si="0"/>
        <v>1.8018018018018018E-2</v>
      </c>
      <c r="AE22" s="162">
        <f>Master_Data[[#This Row],[Imp. Level]]/SUMIF(Master_Data[Subject],Master_Data[[#This Row],[Subject]],Master_Data[Imp. Level])</f>
        <v>0.10256410256410256</v>
      </c>
      <c r="AF22" s="144">
        <f>Master_Data[[#This Row],[Subjectwise weights]]*Master_Data[[#This Row],[Confidence Level]]</f>
        <v>0.20512820512820512</v>
      </c>
      <c r="AG22" s="145" t="str">
        <f>IF(AND(Master_Data[[#This Row],[Prac. Book]]="D",Master_Data[[#This Row],[GARP EOC Ques.]]="D"),"D","U")</f>
        <v>U</v>
      </c>
      <c r="AH22" s="255" t="str">
        <f>Master_Data[[#This Row],[GARP 10 Yr Papers]]</f>
        <v>U</v>
      </c>
    </row>
    <row r="23" spans="2:34" ht="27" customHeight="1">
      <c r="B23" s="3">
        <v>15</v>
      </c>
      <c r="C23" s="166" t="str">
        <f ca="1">IF(Master_Data[[#This Row],[Column1]]="Done","",IF(Master_Data[[#This Row],[Column1]]=MIN(Master_Data[Column1]),"Current Week",CONCATENATE("Week ",Master_Data[[#This Row],[Column1]])))</f>
        <v>Week 15</v>
      </c>
      <c r="D23" s="3">
        <f ca="1">IF(Master_Data[[#This Row],[Cum. Undone hrs]]=0,"Done",ROUNDUP(Master_Data[[#This Row],[Cum. Undone hrs]]/Working!$C$8,0))</f>
        <v>15</v>
      </c>
      <c r="E23" s="3">
        <f ca="1">IF(OR(D23=D22,D23=D22+1),Master_Data[[#This Row],[Column1]],D23-1)</f>
        <v>15</v>
      </c>
      <c r="F23" s="11">
        <f>SUM($G$9:G23)</f>
        <v>2.8590277777777779</v>
      </c>
      <c r="G23" s="256">
        <f>IF(Master_Data[[#This Row],[Lectures]]="D","",Master_Data[[#This Row],[Duration (hh:mm)]])</f>
        <v>0.10138888888888889</v>
      </c>
      <c r="H23" s="2" t="s">
        <v>162</v>
      </c>
      <c r="I23" s="2">
        <v>23</v>
      </c>
      <c r="J23" s="2" t="s">
        <v>95</v>
      </c>
      <c r="K23" s="36" t="s">
        <v>210</v>
      </c>
      <c r="L23" s="257">
        <v>1</v>
      </c>
      <c r="M23" s="12">
        <v>8</v>
      </c>
      <c r="N23" s="35">
        <v>3</v>
      </c>
      <c r="O23" s="35">
        <v>4</v>
      </c>
      <c r="P23" s="35">
        <v>4</v>
      </c>
      <c r="Q23" s="35">
        <v>4</v>
      </c>
      <c r="R23" s="35">
        <v>3</v>
      </c>
      <c r="S23" s="35">
        <v>4</v>
      </c>
      <c r="T23" s="254">
        <v>0.10138888888888889</v>
      </c>
      <c r="U23" s="34">
        <f>(SUM($T$9:T23)/$T$4)*100</f>
        <v>31.771878376292651</v>
      </c>
      <c r="V23" s="19" t="s">
        <v>6</v>
      </c>
      <c r="W23" s="19" t="s">
        <v>6</v>
      </c>
      <c r="X23" s="19" t="s">
        <v>6</v>
      </c>
      <c r="Y23" s="19" t="s">
        <v>6</v>
      </c>
      <c r="Z23" s="19" t="s">
        <v>6</v>
      </c>
      <c r="AA23" s="19" t="s">
        <v>6</v>
      </c>
      <c r="AB23" s="146">
        <v>3</v>
      </c>
      <c r="AC23" s="13"/>
      <c r="AD23" s="161">
        <f t="shared" si="0"/>
        <v>1.3513513513513514E-2</v>
      </c>
      <c r="AE23" s="162">
        <f>Master_Data[[#This Row],[Imp. Level]]/SUMIF(Master_Data[Subject],Master_Data[[#This Row],[Subject]],Master_Data[Imp. Level])</f>
        <v>7.6923076923076927E-2</v>
      </c>
      <c r="AF23" s="144">
        <f>Master_Data[[#This Row],[Subjectwise weights]]*Master_Data[[#This Row],[Confidence Level]]</f>
        <v>0.23076923076923078</v>
      </c>
      <c r="AG23" s="145" t="str">
        <f>IF(AND(Master_Data[[#This Row],[Prac. Book]]="D",Master_Data[[#This Row],[GARP EOC Ques.]]="D"),"D","U")</f>
        <v>U</v>
      </c>
      <c r="AH23" s="255" t="str">
        <f>Master_Data[[#This Row],[GARP 10 Yr Papers]]</f>
        <v>U</v>
      </c>
    </row>
    <row r="24" spans="2:34" ht="27" customHeight="1">
      <c r="B24" s="3">
        <v>16</v>
      </c>
      <c r="C24" s="166" t="str">
        <f ca="1">IF(Master_Data[[#This Row],[Column1]]="Done","",IF(Master_Data[[#This Row],[Column1]]=MIN(Master_Data[Column1]),"Current Week",CONCATENATE("Week ",Master_Data[[#This Row],[Column1]])))</f>
        <v>Week 15</v>
      </c>
      <c r="D24" s="3">
        <f ca="1">IF(Master_Data[[#This Row],[Cum. Undone hrs]]=0,"Done",ROUNDUP(Master_Data[[#This Row],[Cum. Undone hrs]]/Working!$C$8,0))</f>
        <v>15</v>
      </c>
      <c r="E24" s="3">
        <f ca="1">IF(OR(D24=D23,D24=D23+1),Master_Data[[#This Row],[Column1]],D24-1)</f>
        <v>15</v>
      </c>
      <c r="F24" s="11">
        <f>SUM($G$9:G24)</f>
        <v>2.8951388888888889</v>
      </c>
      <c r="G24" s="256">
        <f>IF(Master_Data[[#This Row],[Lectures]]="D","",Master_Data[[#This Row],[Duration (hh:mm)]])</f>
        <v>3.6111111111111108E-2</v>
      </c>
      <c r="H24" s="2" t="s">
        <v>169</v>
      </c>
      <c r="I24" s="2">
        <v>35</v>
      </c>
      <c r="J24" s="2" t="s">
        <v>95</v>
      </c>
      <c r="K24" s="36" t="s">
        <v>194</v>
      </c>
      <c r="L24" s="257">
        <v>1</v>
      </c>
      <c r="M24" s="12">
        <v>12</v>
      </c>
      <c r="N24" s="35">
        <v>3</v>
      </c>
      <c r="O24" s="35">
        <v>3</v>
      </c>
      <c r="P24" s="35">
        <v>4</v>
      </c>
      <c r="Q24" s="35">
        <v>5</v>
      </c>
      <c r="R24" s="35">
        <v>4</v>
      </c>
      <c r="S24" s="35">
        <v>4</v>
      </c>
      <c r="T24" s="254">
        <v>3.6111111111111108E-2</v>
      </c>
      <c r="U24" s="34">
        <f>(SUM($T$9:T24)/$T$4)*100</f>
        <v>32.173174872665541</v>
      </c>
      <c r="V24" s="19" t="s">
        <v>6</v>
      </c>
      <c r="W24" s="19" t="s">
        <v>6</v>
      </c>
      <c r="X24" s="19" t="s">
        <v>6</v>
      </c>
      <c r="Y24" s="19" t="s">
        <v>6</v>
      </c>
      <c r="Z24" s="19" t="s">
        <v>6</v>
      </c>
      <c r="AA24" s="19" t="s">
        <v>6</v>
      </c>
      <c r="AB24" s="146">
        <v>2</v>
      </c>
      <c r="AC24" s="13"/>
      <c r="AD24" s="161">
        <f t="shared" si="0"/>
        <v>1.8018018018018018E-2</v>
      </c>
      <c r="AE24" s="162">
        <f>Master_Data[[#This Row],[Imp. Level]]/SUMIF(Master_Data[Subject],Master_Data[[#This Row],[Subject]],Master_Data[Imp. Level])</f>
        <v>0.05</v>
      </c>
      <c r="AF24" s="144">
        <f>Master_Data[[#This Row],[Subjectwise weights]]*Master_Data[[#This Row],[Confidence Level]]</f>
        <v>0.1</v>
      </c>
      <c r="AG24" s="145" t="str">
        <f>IF(AND(Master_Data[[#This Row],[Prac. Book]]="D",Master_Data[[#This Row],[GARP EOC Ques.]]="D"),"D","U")</f>
        <v>U</v>
      </c>
      <c r="AH24" s="255" t="str">
        <f>Master_Data[[#This Row],[GARP 10 Yr Papers]]</f>
        <v>U</v>
      </c>
    </row>
    <row r="25" spans="2:34" ht="27" customHeight="1">
      <c r="B25" s="3">
        <v>17</v>
      </c>
      <c r="C25" s="166" t="str">
        <f ca="1">IF(Master_Data[[#This Row],[Column1]]="Done","",IF(Master_Data[[#This Row],[Column1]]=MIN(Master_Data[Column1]),"Current Week",CONCATENATE("Week ",Master_Data[[#This Row],[Column1]])))</f>
        <v>Week 19</v>
      </c>
      <c r="D25" s="3">
        <f ca="1">IF(Master_Data[[#This Row],[Cum. Undone hrs]]=0,"Done",ROUNDUP(Master_Data[[#This Row],[Cum. Undone hrs]]/Working!$C$8,0))</f>
        <v>19</v>
      </c>
      <c r="E25" s="3">
        <f ca="1">IF(OR(D25=D24,D25=D24+1),Master_Data[[#This Row],[Column1]],D25-1)</f>
        <v>18</v>
      </c>
      <c r="F25" s="11">
        <f>SUM($G$9:G25)</f>
        <v>3.7069444444444444</v>
      </c>
      <c r="G25" s="256">
        <f>IF(Master_Data[[#This Row],[Lectures]]="D","",Master_Data[[#This Row],[Duration (hh:mm)]])</f>
        <v>0.81180555555555556</v>
      </c>
      <c r="H25" s="2" t="s">
        <v>169</v>
      </c>
      <c r="I25" s="2">
        <v>30</v>
      </c>
      <c r="J25" s="2" t="s">
        <v>95</v>
      </c>
      <c r="K25" s="36" t="s">
        <v>177</v>
      </c>
      <c r="L25" s="257">
        <v>1</v>
      </c>
      <c r="M25" s="12">
        <v>9</v>
      </c>
      <c r="N25" s="35">
        <v>1</v>
      </c>
      <c r="O25" s="35">
        <v>2</v>
      </c>
      <c r="P25" s="35">
        <v>2</v>
      </c>
      <c r="Q25" s="35">
        <v>2</v>
      </c>
      <c r="R25" s="35">
        <v>3</v>
      </c>
      <c r="S25" s="35">
        <v>4</v>
      </c>
      <c r="T25" s="254">
        <v>0.81180555555555556</v>
      </c>
      <c r="U25" s="34">
        <f>(SUM($T$9:T25)/$T$4)*100</f>
        <v>41.194628800740865</v>
      </c>
      <c r="V25" s="19" t="s">
        <v>6</v>
      </c>
      <c r="W25" s="19" t="s">
        <v>6</v>
      </c>
      <c r="X25" s="19" t="s">
        <v>6</v>
      </c>
      <c r="Y25" s="19" t="s">
        <v>6</v>
      </c>
      <c r="Z25" s="19" t="s">
        <v>6</v>
      </c>
      <c r="AA25" s="19" t="s">
        <v>6</v>
      </c>
      <c r="AB25" s="146">
        <v>2</v>
      </c>
      <c r="AC25" s="13"/>
      <c r="AD25" s="161">
        <f t="shared" si="0"/>
        <v>1.3513513513513514E-2</v>
      </c>
      <c r="AE25" s="162">
        <f>Master_Data[[#This Row],[Imp. Level]]/SUMIF(Master_Data[Subject],Master_Data[[#This Row],[Subject]],Master_Data[Imp. Level])</f>
        <v>3.7499999999999999E-2</v>
      </c>
      <c r="AF25" s="144">
        <f>Master_Data[[#This Row],[Subjectwise weights]]*Master_Data[[#This Row],[Confidence Level]]</f>
        <v>7.4999999999999997E-2</v>
      </c>
      <c r="AG25" s="145" t="str">
        <f>IF(AND(Master_Data[[#This Row],[Prac. Book]]="D",Master_Data[[#This Row],[GARP EOC Ques.]]="D"),"D","U")</f>
        <v>U</v>
      </c>
      <c r="AH25" s="255" t="str">
        <f>Master_Data[[#This Row],[GARP 10 Yr Papers]]</f>
        <v>U</v>
      </c>
    </row>
    <row r="26" spans="2:34" ht="27" customHeight="1">
      <c r="B26" s="3">
        <v>18</v>
      </c>
      <c r="C26" s="166" t="str">
        <f ca="1">IF(Master_Data[[#This Row],[Column1]]="Done","",IF(Master_Data[[#This Row],[Column1]]=MIN(Master_Data[Column1]),"Current Week",CONCATENATE("Week ",Master_Data[[#This Row],[Column1]])))</f>
        <v>Week 20</v>
      </c>
      <c r="D26" s="3">
        <f ca="1">IF(Master_Data[[#This Row],[Cum. Undone hrs]]=0,"Done",ROUNDUP(Master_Data[[#This Row],[Cum. Undone hrs]]/Working!$C$8,0))</f>
        <v>20</v>
      </c>
      <c r="E26" s="3">
        <f ca="1">IF(OR(D26=D25,D26=D25+1),Master_Data[[#This Row],[Column1]],D26-1)</f>
        <v>20</v>
      </c>
      <c r="F26" s="11">
        <f>SUM($G$9:G26)</f>
        <v>3.8125</v>
      </c>
      <c r="G26" s="256">
        <f>IF(Master_Data[[#This Row],[Lectures]]="D","",Master_Data[[#This Row],[Duration (hh:mm)]])</f>
        <v>0.10555555555555556</v>
      </c>
      <c r="H26" s="2" t="s">
        <v>169</v>
      </c>
      <c r="I26" s="2">
        <v>38</v>
      </c>
      <c r="J26" s="2" t="s">
        <v>95</v>
      </c>
      <c r="K26" s="36" t="s">
        <v>175</v>
      </c>
      <c r="L26" s="257">
        <v>1</v>
      </c>
      <c r="M26" s="12">
        <v>5</v>
      </c>
      <c r="N26" s="35">
        <v>4</v>
      </c>
      <c r="O26" s="35">
        <v>5</v>
      </c>
      <c r="P26" s="35">
        <v>4</v>
      </c>
      <c r="Q26" s="35">
        <v>5</v>
      </c>
      <c r="R26" s="35">
        <v>5</v>
      </c>
      <c r="S26" s="35">
        <v>4</v>
      </c>
      <c r="T26" s="254">
        <v>0.10555555555555556</v>
      </c>
      <c r="U26" s="34">
        <f>(SUM($T$9:T26)/$T$4)*100</f>
        <v>42.367649328600102</v>
      </c>
      <c r="V26" s="19" t="s">
        <v>6</v>
      </c>
      <c r="W26" s="19" t="s">
        <v>6</v>
      </c>
      <c r="X26" s="19" t="s">
        <v>6</v>
      </c>
      <c r="Y26" s="19" t="s">
        <v>6</v>
      </c>
      <c r="Z26" s="19" t="s">
        <v>6</v>
      </c>
      <c r="AA26" s="19" t="s">
        <v>6</v>
      </c>
      <c r="AB26" s="146">
        <v>2</v>
      </c>
      <c r="AC26" s="13"/>
      <c r="AD26" s="161">
        <f t="shared" si="0"/>
        <v>2.2522522522522521E-2</v>
      </c>
      <c r="AE26" s="162">
        <f>Master_Data[[#This Row],[Imp. Level]]/SUMIF(Master_Data[Subject],Master_Data[[#This Row],[Subject]],Master_Data[Imp. Level])</f>
        <v>6.25E-2</v>
      </c>
      <c r="AF26" s="144">
        <f>Master_Data[[#This Row],[Subjectwise weights]]*Master_Data[[#This Row],[Confidence Level]]</f>
        <v>0.125</v>
      </c>
      <c r="AG26" s="145" t="str">
        <f>IF(AND(Master_Data[[#This Row],[Prac. Book]]="D",Master_Data[[#This Row],[GARP EOC Ques.]]="D"),"D","U")</f>
        <v>U</v>
      </c>
      <c r="AH26" s="255" t="str">
        <f>Master_Data[[#This Row],[GARP 10 Yr Papers]]</f>
        <v>U</v>
      </c>
    </row>
    <row r="27" spans="2:34" ht="27" customHeight="1">
      <c r="B27" s="3">
        <v>19</v>
      </c>
      <c r="C27" s="166" t="str">
        <f ca="1">IF(Master_Data[[#This Row],[Column1]]="Done","",IF(Master_Data[[#This Row],[Column1]]=MIN(Master_Data[Column1]),"Current Week",CONCATENATE("Week ",Master_Data[[#This Row],[Column1]])))</f>
        <v>Week 20</v>
      </c>
      <c r="D27" s="3">
        <f ca="1">IF(Master_Data[[#This Row],[Cum. Undone hrs]]=0,"Done",ROUNDUP(Master_Data[[#This Row],[Cum. Undone hrs]]/Working!$C$8,0))</f>
        <v>20</v>
      </c>
      <c r="E27" s="3">
        <f ca="1">IF(OR(D27=D26,D27=D26+1),Master_Data[[#This Row],[Column1]],D27-1)</f>
        <v>20</v>
      </c>
      <c r="F27" s="11">
        <f>SUM($G$9:G27)</f>
        <v>3.8312499999999998</v>
      </c>
      <c r="G27" s="256">
        <f>IF(Master_Data[[#This Row],[Lectures]]="D","",Master_Data[[#This Row],[Duration (hh:mm)]])</f>
        <v>1.8749999999999999E-2</v>
      </c>
      <c r="H27" s="2" t="s">
        <v>169</v>
      </c>
      <c r="I27" s="2">
        <v>39</v>
      </c>
      <c r="J27" s="2" t="s">
        <v>95</v>
      </c>
      <c r="K27" s="36" t="s">
        <v>176</v>
      </c>
      <c r="L27" s="257">
        <v>1</v>
      </c>
      <c r="M27" s="12">
        <v>4</v>
      </c>
      <c r="N27" s="35">
        <v>4</v>
      </c>
      <c r="O27" s="35">
        <v>5</v>
      </c>
      <c r="P27" s="35">
        <v>4</v>
      </c>
      <c r="Q27" s="35">
        <v>5</v>
      </c>
      <c r="R27" s="35">
        <v>5</v>
      </c>
      <c r="S27" s="35">
        <v>4</v>
      </c>
      <c r="T27" s="254">
        <v>1.8749999999999999E-2</v>
      </c>
      <c r="U27" s="34">
        <f>(SUM($T$9:T27)/$T$4)*100</f>
        <v>42.576014817101417</v>
      </c>
      <c r="V27" s="19" t="s">
        <v>6</v>
      </c>
      <c r="W27" s="19" t="s">
        <v>6</v>
      </c>
      <c r="X27" s="19" t="s">
        <v>6</v>
      </c>
      <c r="Y27" s="19" t="s">
        <v>6</v>
      </c>
      <c r="Z27" s="19" t="s">
        <v>6</v>
      </c>
      <c r="AA27" s="19" t="s">
        <v>6</v>
      </c>
      <c r="AB27" s="146">
        <v>2</v>
      </c>
      <c r="AC27" s="13"/>
      <c r="AD27" s="161">
        <f t="shared" si="0"/>
        <v>2.2522522522522521E-2</v>
      </c>
      <c r="AE27" s="162">
        <f>Master_Data[[#This Row],[Imp. Level]]/SUMIF(Master_Data[Subject],Master_Data[[#This Row],[Subject]],Master_Data[Imp. Level])</f>
        <v>6.25E-2</v>
      </c>
      <c r="AF27" s="144">
        <f>Master_Data[[#This Row],[Subjectwise weights]]*Master_Data[[#This Row],[Confidence Level]]</f>
        <v>0.125</v>
      </c>
      <c r="AG27" s="145" t="str">
        <f>IF(AND(Master_Data[[#This Row],[Prac. Book]]="D",Master_Data[[#This Row],[GARP EOC Ques.]]="D"),"D","U")</f>
        <v>U</v>
      </c>
      <c r="AH27" s="255" t="str">
        <f>Master_Data[[#This Row],[GARP 10 Yr Papers]]</f>
        <v>U</v>
      </c>
    </row>
    <row r="28" spans="2:34" ht="27" customHeight="1">
      <c r="B28" s="3">
        <v>20</v>
      </c>
      <c r="C28" s="166" t="str">
        <f ca="1">IF(Master_Data[[#This Row],[Column1]]="Done","",IF(Master_Data[[#This Row],[Column1]]=MIN(Master_Data[Column1]),"Current Week",CONCATENATE("Week ",Master_Data[[#This Row],[Column1]])))</f>
        <v>Week 21</v>
      </c>
      <c r="D28" s="3">
        <f ca="1">IF(Master_Data[[#This Row],[Cum. Undone hrs]]=0,"Done",ROUNDUP(Master_Data[[#This Row],[Cum. Undone hrs]]/Working!$C$8,0))</f>
        <v>21</v>
      </c>
      <c r="E28" s="3">
        <f ca="1">IF(OR(D28=D27,D28=D27+1),Master_Data[[#This Row],[Column1]],D28-1)</f>
        <v>21</v>
      </c>
      <c r="F28" s="11">
        <f>SUM($G$9:G28)</f>
        <v>3.9569444444444444</v>
      </c>
      <c r="G28" s="256">
        <f>IF(Master_Data[[#This Row],[Lectures]]="D","",Master_Data[[#This Row],[Duration (hh:mm)]])</f>
        <v>0.12569444444444444</v>
      </c>
      <c r="H28" s="2" t="s">
        <v>162</v>
      </c>
      <c r="I28" s="2">
        <v>24</v>
      </c>
      <c r="J28" s="2" t="s">
        <v>94</v>
      </c>
      <c r="K28" s="36" t="s">
        <v>211</v>
      </c>
      <c r="L28" s="257">
        <v>1</v>
      </c>
      <c r="M28" s="12">
        <v>7</v>
      </c>
      <c r="N28" s="35">
        <v>3</v>
      </c>
      <c r="O28" s="35">
        <v>1</v>
      </c>
      <c r="P28" s="35">
        <v>4</v>
      </c>
      <c r="Q28" s="35">
        <v>5</v>
      </c>
      <c r="R28" s="35">
        <v>3</v>
      </c>
      <c r="S28" s="35">
        <v>4</v>
      </c>
      <c r="T28" s="254">
        <v>0.12569444444444444</v>
      </c>
      <c r="U28" s="34">
        <f>(SUM($T$9:T28)/$T$4)*100</f>
        <v>43.972835314091697</v>
      </c>
      <c r="V28" s="19" t="s">
        <v>6</v>
      </c>
      <c r="W28" s="19" t="s">
        <v>6</v>
      </c>
      <c r="X28" s="19" t="s">
        <v>6</v>
      </c>
      <c r="Y28" s="19" t="s">
        <v>6</v>
      </c>
      <c r="Z28" s="19" t="s">
        <v>6</v>
      </c>
      <c r="AA28" s="19" t="s">
        <v>6</v>
      </c>
      <c r="AB28" s="146">
        <v>2</v>
      </c>
      <c r="AC28" s="13"/>
      <c r="AD28" s="161">
        <f t="shared" si="0"/>
        <v>1.3513513513513514E-2</v>
      </c>
      <c r="AE28" s="162">
        <f>Master_Data[[#This Row],[Imp. Level]]/SUMIF(Master_Data[Subject],Master_Data[[#This Row],[Subject]],Master_Data[Imp. Level])</f>
        <v>7.6923076923076927E-2</v>
      </c>
      <c r="AF28" s="144">
        <f>Master_Data[[#This Row],[Subjectwise weights]]*Master_Data[[#This Row],[Confidence Level]]</f>
        <v>0.15384615384615385</v>
      </c>
      <c r="AG28" s="145" t="str">
        <f>IF(AND(Master_Data[[#This Row],[Prac. Book]]="D",Master_Data[[#This Row],[GARP EOC Ques.]]="D"),"D","U")</f>
        <v>U</v>
      </c>
      <c r="AH28" s="255" t="str">
        <f>Master_Data[[#This Row],[GARP 10 Yr Papers]]</f>
        <v>U</v>
      </c>
    </row>
    <row r="29" spans="2:34" ht="27" customHeight="1">
      <c r="B29" s="3">
        <v>21</v>
      </c>
      <c r="C29" s="166" t="str">
        <f ca="1">IF(Master_Data[[#This Row],[Column1]]="Done","",IF(Master_Data[[#This Row],[Column1]]=MIN(Master_Data[Column1]),"Current Week",CONCATENATE("Week ",Master_Data[[#This Row],[Column1]])))</f>
        <v>Week 22</v>
      </c>
      <c r="D29" s="3">
        <f ca="1">IF(Master_Data[[#This Row],[Cum. Undone hrs]]=0,"Done",ROUNDUP(Master_Data[[#This Row],[Cum. Undone hrs]]/Working!$C$8,0))</f>
        <v>22</v>
      </c>
      <c r="E29" s="3">
        <f ca="1">IF(OR(D29=D28,D29=D28+1),Master_Data[[#This Row],[Column1]],D29-1)</f>
        <v>22</v>
      </c>
      <c r="F29" s="11">
        <f>SUM($G$9:G29)</f>
        <v>4.125</v>
      </c>
      <c r="G29" s="256">
        <f>IF(Master_Data[[#This Row],[Lectures]]="D","",Master_Data[[#This Row],[Duration (hh:mm)]])</f>
        <v>0.16805555555555557</v>
      </c>
      <c r="H29" s="2" t="s">
        <v>162</v>
      </c>
      <c r="I29" s="2">
        <v>25</v>
      </c>
      <c r="J29" s="2" t="s">
        <v>95</v>
      </c>
      <c r="K29" s="36" t="s">
        <v>223</v>
      </c>
      <c r="L29" s="257">
        <v>1</v>
      </c>
      <c r="M29" s="12">
        <v>9</v>
      </c>
      <c r="N29" s="35">
        <v>3</v>
      </c>
      <c r="O29" s="35">
        <v>1</v>
      </c>
      <c r="P29" s="35">
        <v>4</v>
      </c>
      <c r="Q29" s="35">
        <v>5</v>
      </c>
      <c r="R29" s="35">
        <v>3</v>
      </c>
      <c r="S29" s="35">
        <v>4</v>
      </c>
      <c r="T29" s="254">
        <v>0.16805555555555557</v>
      </c>
      <c r="U29" s="34">
        <f>(SUM($T$9:T29)/$T$4)*100</f>
        <v>45.840407470288639</v>
      </c>
      <c r="V29" s="19" t="s">
        <v>6</v>
      </c>
      <c r="W29" s="19" t="s">
        <v>6</v>
      </c>
      <c r="X29" s="19" t="s">
        <v>6</v>
      </c>
      <c r="Y29" s="19" t="s">
        <v>6</v>
      </c>
      <c r="Z29" s="19" t="s">
        <v>6</v>
      </c>
      <c r="AA29" s="19" t="s">
        <v>6</v>
      </c>
      <c r="AB29" s="146">
        <v>2</v>
      </c>
      <c r="AC29" s="13"/>
      <c r="AD29" s="161">
        <f t="shared" si="0"/>
        <v>1.3513513513513514E-2</v>
      </c>
      <c r="AE29" s="162">
        <f>Master_Data[[#This Row],[Imp. Level]]/SUMIF(Master_Data[Subject],Master_Data[[#This Row],[Subject]],Master_Data[Imp. Level])</f>
        <v>7.6923076923076927E-2</v>
      </c>
      <c r="AF29" s="144">
        <f>Master_Data[[#This Row],[Subjectwise weights]]*Master_Data[[#This Row],[Confidence Level]]</f>
        <v>0.15384615384615385</v>
      </c>
      <c r="AG29" s="145" t="str">
        <f>IF(AND(Master_Data[[#This Row],[Prac. Book]]="D",Master_Data[[#This Row],[GARP EOC Ques.]]="D"),"D","U")</f>
        <v>U</v>
      </c>
      <c r="AH29" s="255" t="str">
        <f>Master_Data[[#This Row],[GARP 10 Yr Papers]]</f>
        <v>U</v>
      </c>
    </row>
    <row r="30" spans="2:34" ht="27" customHeight="1">
      <c r="B30" s="3">
        <v>22</v>
      </c>
      <c r="C30" s="166" t="str">
        <f ca="1">IF(Master_Data[[#This Row],[Column1]]="Done","",IF(Master_Data[[#This Row],[Column1]]=MIN(Master_Data[Column1]),"Current Week",CONCATENATE("Week ",Master_Data[[#This Row],[Column1]])))</f>
        <v>Week 22</v>
      </c>
      <c r="D30" s="3">
        <f ca="1">IF(Master_Data[[#This Row],[Cum. Undone hrs]]=0,"Done",ROUNDUP(Master_Data[[#This Row],[Cum. Undone hrs]]/Working!$C$8,0))</f>
        <v>22</v>
      </c>
      <c r="E30" s="3">
        <f ca="1">IF(OR(D30=D29,D30=D29+1),Master_Data[[#This Row],[Column1]],D30-1)</f>
        <v>22</v>
      </c>
      <c r="F30" s="11">
        <f>SUM($G$9:G30)</f>
        <v>4.2881944444444446</v>
      </c>
      <c r="G30" s="256">
        <f>IF(Master_Data[[#This Row],[Lectures]]="D","",Master_Data[[#This Row],[Duration (hh:mm)]])</f>
        <v>0.16319444444444445</v>
      </c>
      <c r="H30" s="2" t="s">
        <v>162</v>
      </c>
      <c r="I30" s="2">
        <v>26</v>
      </c>
      <c r="J30" s="2" t="s">
        <v>95</v>
      </c>
      <c r="K30" s="36" t="s">
        <v>212</v>
      </c>
      <c r="L30" s="257">
        <v>1</v>
      </c>
      <c r="M30" s="12">
        <v>9</v>
      </c>
      <c r="N30" s="35">
        <v>3</v>
      </c>
      <c r="O30" s="35">
        <v>1</v>
      </c>
      <c r="P30" s="35">
        <v>4</v>
      </c>
      <c r="Q30" s="35">
        <v>5</v>
      </c>
      <c r="R30" s="35">
        <v>3</v>
      </c>
      <c r="S30" s="35">
        <v>4</v>
      </c>
      <c r="T30" s="254">
        <v>0.16319444444444445</v>
      </c>
      <c r="U30" s="34">
        <f>(SUM($T$9:T30)/$T$4)*100</f>
        <v>47.653958944281541</v>
      </c>
      <c r="V30" s="19" t="s">
        <v>6</v>
      </c>
      <c r="W30" s="19" t="s">
        <v>6</v>
      </c>
      <c r="X30" s="19" t="s">
        <v>6</v>
      </c>
      <c r="Y30" s="19" t="s">
        <v>6</v>
      </c>
      <c r="Z30" s="19" t="s">
        <v>6</v>
      </c>
      <c r="AA30" s="19" t="s">
        <v>6</v>
      </c>
      <c r="AB30" s="146">
        <v>2</v>
      </c>
      <c r="AC30" s="13"/>
      <c r="AD30" s="161">
        <f t="shared" si="0"/>
        <v>1.3513513513513514E-2</v>
      </c>
      <c r="AE30" s="162">
        <f>Master_Data[[#This Row],[Imp. Level]]/SUMIF(Master_Data[Subject],Master_Data[[#This Row],[Subject]],Master_Data[Imp. Level])</f>
        <v>7.6923076923076927E-2</v>
      </c>
      <c r="AF30" s="144">
        <f>Master_Data[[#This Row],[Subjectwise weights]]*Master_Data[[#This Row],[Confidence Level]]</f>
        <v>0.15384615384615385</v>
      </c>
      <c r="AG30" s="145" t="str">
        <f>IF(AND(Master_Data[[#This Row],[Prac. Book]]="D",Master_Data[[#This Row],[GARP EOC Ques.]]="D"),"D","U")</f>
        <v>U</v>
      </c>
      <c r="AH30" s="255" t="str">
        <f>Master_Data[[#This Row],[GARP 10 Yr Papers]]</f>
        <v>U</v>
      </c>
    </row>
    <row r="31" spans="2:34" ht="27" customHeight="1">
      <c r="B31" s="3">
        <v>23</v>
      </c>
      <c r="C31" s="166" t="str">
        <f ca="1">IF(Master_Data[[#This Row],[Column1]]="Done","",IF(Master_Data[[#This Row],[Column1]]=MIN(Master_Data[Column1]),"Current Week",CONCATENATE("Week ",Master_Data[[#This Row],[Column1]])))</f>
        <v>Week 23</v>
      </c>
      <c r="D31" s="3">
        <f ca="1">IF(Master_Data[[#This Row],[Cum. Undone hrs]]=0,"Done",ROUNDUP(Master_Data[[#This Row],[Cum. Undone hrs]]/Working!$C$8,0))</f>
        <v>23</v>
      </c>
      <c r="E31" s="3">
        <f ca="1">IF(OR(D31=D30,D31=D30+1),Master_Data[[#This Row],[Column1]],D31-1)</f>
        <v>23</v>
      </c>
      <c r="F31" s="11">
        <f>SUM($G$9:G31)</f>
        <v>4.375694444444445</v>
      </c>
      <c r="G31" s="256">
        <f>IF(Master_Data[[#This Row],[Lectures]]="D","",Master_Data[[#This Row],[Duration (hh:mm)]])</f>
        <v>8.7499999999999994E-2</v>
      </c>
      <c r="H31" s="2" t="s">
        <v>169</v>
      </c>
      <c r="I31" s="2">
        <v>36</v>
      </c>
      <c r="J31" s="2" t="s">
        <v>95</v>
      </c>
      <c r="K31" s="36" t="s">
        <v>178</v>
      </c>
      <c r="L31" s="257">
        <v>1</v>
      </c>
      <c r="M31" s="12">
        <v>8</v>
      </c>
      <c r="N31" s="35">
        <v>4</v>
      </c>
      <c r="O31" s="35">
        <v>5</v>
      </c>
      <c r="P31" s="35">
        <v>4</v>
      </c>
      <c r="Q31" s="35">
        <v>5</v>
      </c>
      <c r="R31" s="35">
        <v>5</v>
      </c>
      <c r="S31" s="35">
        <v>4</v>
      </c>
      <c r="T31" s="254">
        <v>8.7499999999999994E-2</v>
      </c>
      <c r="U31" s="34">
        <f>(SUM($T$9:T31)/$T$4)*100</f>
        <v>48.626331223954331</v>
      </c>
      <c r="V31" s="19" t="s">
        <v>6</v>
      </c>
      <c r="W31" s="19" t="s">
        <v>6</v>
      </c>
      <c r="X31" s="19" t="s">
        <v>6</v>
      </c>
      <c r="Y31" s="19" t="s">
        <v>6</v>
      </c>
      <c r="Z31" s="19" t="s">
        <v>6</v>
      </c>
      <c r="AA31" s="19" t="s">
        <v>6</v>
      </c>
      <c r="AB31" s="146">
        <v>2</v>
      </c>
      <c r="AC31" s="13"/>
      <c r="AD31" s="161">
        <f t="shared" si="0"/>
        <v>2.2522522522522521E-2</v>
      </c>
      <c r="AE31" s="162">
        <f>Master_Data[[#This Row],[Imp. Level]]/SUMIF(Master_Data[Subject],Master_Data[[#This Row],[Subject]],Master_Data[Imp. Level])</f>
        <v>6.25E-2</v>
      </c>
      <c r="AF31" s="144">
        <f>Master_Data[[#This Row],[Subjectwise weights]]*Master_Data[[#This Row],[Confidence Level]]</f>
        <v>0.125</v>
      </c>
      <c r="AG31" s="145" t="str">
        <f>IF(AND(Master_Data[[#This Row],[Prac. Book]]="D",Master_Data[[#This Row],[GARP EOC Ques.]]="D"),"D","U")</f>
        <v>U</v>
      </c>
      <c r="AH31" s="255" t="str">
        <f>Master_Data[[#This Row],[GARP 10 Yr Papers]]</f>
        <v>U</v>
      </c>
    </row>
    <row r="32" spans="2:34" ht="27" customHeight="1">
      <c r="B32" s="3">
        <v>24</v>
      </c>
      <c r="C32" s="166" t="str">
        <f ca="1">IF(Master_Data[[#This Row],[Column1]]="Done","",IF(Master_Data[[#This Row],[Column1]]=MIN(Master_Data[Column1]),"Current Week",CONCATENATE("Week ",Master_Data[[#This Row],[Column1]])))</f>
        <v>Week 23</v>
      </c>
      <c r="D32" s="3">
        <f ca="1">IF(Master_Data[[#This Row],[Cum. Undone hrs]]=0,"Done",ROUNDUP(Master_Data[[#This Row],[Cum. Undone hrs]]/Working!$C$8,0))</f>
        <v>23</v>
      </c>
      <c r="E32" s="3">
        <f ca="1">IF(OR(D32=D31,D32=D31+1),Master_Data[[#This Row],[Column1]],D32-1)</f>
        <v>23</v>
      </c>
      <c r="F32" s="11">
        <f>SUM($G$9:G32)</f>
        <v>4.4937500000000004</v>
      </c>
      <c r="G32" s="256">
        <f>IF(Master_Data[[#This Row],[Lectures]]="D","",Master_Data[[#This Row],[Duration (hh:mm)]])</f>
        <v>0.11805555555555555</v>
      </c>
      <c r="H32" s="2" t="s">
        <v>169</v>
      </c>
      <c r="I32" s="2">
        <v>37</v>
      </c>
      <c r="J32" s="2" t="s">
        <v>95</v>
      </c>
      <c r="K32" s="36" t="s">
        <v>179</v>
      </c>
      <c r="L32" s="257">
        <v>1</v>
      </c>
      <c r="M32" s="12">
        <v>11</v>
      </c>
      <c r="N32" s="35">
        <v>4</v>
      </c>
      <c r="O32" s="35">
        <v>4</v>
      </c>
      <c r="P32" s="35">
        <v>4</v>
      </c>
      <c r="Q32" s="35">
        <v>4</v>
      </c>
      <c r="R32" s="35">
        <v>5</v>
      </c>
      <c r="S32" s="35">
        <v>5</v>
      </c>
      <c r="T32" s="254">
        <v>0.11805555555555555</v>
      </c>
      <c r="U32" s="34">
        <f>(SUM($T$9:T32)/$T$4)*100</f>
        <v>49.938262077481113</v>
      </c>
      <c r="V32" s="19" t="s">
        <v>6</v>
      </c>
      <c r="W32" s="19" t="s">
        <v>6</v>
      </c>
      <c r="X32" s="19" t="s">
        <v>6</v>
      </c>
      <c r="Y32" s="19" t="s">
        <v>6</v>
      </c>
      <c r="Z32" s="19" t="s">
        <v>6</v>
      </c>
      <c r="AA32" s="19" t="s">
        <v>6</v>
      </c>
      <c r="AB32" s="146">
        <v>3</v>
      </c>
      <c r="AC32" s="13"/>
      <c r="AD32" s="161">
        <f t="shared" si="0"/>
        <v>2.2522522522522521E-2</v>
      </c>
      <c r="AE32" s="162">
        <f>Master_Data[[#This Row],[Imp. Level]]/SUMIF(Master_Data[Subject],Master_Data[[#This Row],[Subject]],Master_Data[Imp. Level])</f>
        <v>6.25E-2</v>
      </c>
      <c r="AF32" s="144">
        <f>Master_Data[[#This Row],[Subjectwise weights]]*Master_Data[[#This Row],[Confidence Level]]</f>
        <v>0.1875</v>
      </c>
      <c r="AG32" s="145" t="str">
        <f>IF(AND(Master_Data[[#This Row],[Prac. Book]]="D",Master_Data[[#This Row],[GARP EOC Ques.]]="D"),"D","U")</f>
        <v>U</v>
      </c>
      <c r="AH32" s="255" t="str">
        <f>Master_Data[[#This Row],[GARP 10 Yr Papers]]</f>
        <v>U</v>
      </c>
    </row>
    <row r="33" spans="2:34" ht="27" customHeight="1">
      <c r="B33" s="3">
        <v>25</v>
      </c>
      <c r="C33" s="166" t="str">
        <f ca="1">IF(Master_Data[[#This Row],[Column1]]="Done","",IF(Master_Data[[#This Row],[Column1]]=MIN(Master_Data[Column1]),"Current Week",CONCATENATE("Week ",Master_Data[[#This Row],[Column1]])))</f>
        <v>Week 24</v>
      </c>
      <c r="D33" s="3">
        <f ca="1">IF(Master_Data[[#This Row],[Cum. Undone hrs]]=0,"Done",ROUNDUP(Master_Data[[#This Row],[Cum. Undone hrs]]/Working!$C$8,0))</f>
        <v>24</v>
      </c>
      <c r="E33" s="3">
        <f ca="1">IF(OR(D33=D32,D33=D32+1),Master_Data[[#This Row],[Column1]],D33-1)</f>
        <v>24</v>
      </c>
      <c r="F33" s="11">
        <f>SUM($G$9:G33)</f>
        <v>4.5548611111111112</v>
      </c>
      <c r="G33" s="256">
        <f>IF(Master_Data[[#This Row],[Lectures]]="D","",Master_Data[[#This Row],[Duration (hh:mm)]])</f>
        <v>6.1111111111111109E-2</v>
      </c>
      <c r="H33" s="2" t="s">
        <v>169</v>
      </c>
      <c r="I33" s="2">
        <v>33</v>
      </c>
      <c r="J33" s="2" t="s">
        <v>94</v>
      </c>
      <c r="K33" s="36" t="s">
        <v>180</v>
      </c>
      <c r="L33" s="257">
        <v>1</v>
      </c>
      <c r="M33" s="12">
        <v>8</v>
      </c>
      <c r="N33" s="35">
        <v>3</v>
      </c>
      <c r="O33" s="35">
        <v>3</v>
      </c>
      <c r="P33" s="35">
        <v>3</v>
      </c>
      <c r="Q33" s="35">
        <v>4</v>
      </c>
      <c r="R33" s="35">
        <v>4</v>
      </c>
      <c r="S33" s="35">
        <v>4</v>
      </c>
      <c r="T33" s="254">
        <v>6.1111111111111109E-2</v>
      </c>
      <c r="U33" s="34">
        <f>(SUM($T$9:T33)/$T$4)*100</f>
        <v>50.617379225189083</v>
      </c>
      <c r="V33" s="19" t="s">
        <v>6</v>
      </c>
      <c r="W33" s="19" t="s">
        <v>6</v>
      </c>
      <c r="X33" s="19" t="s">
        <v>6</v>
      </c>
      <c r="Y33" s="19" t="s">
        <v>6</v>
      </c>
      <c r="Z33" s="19" t="s">
        <v>6</v>
      </c>
      <c r="AA33" s="19" t="s">
        <v>6</v>
      </c>
      <c r="AB33" s="146">
        <v>3</v>
      </c>
      <c r="AC33" s="13"/>
      <c r="AD33" s="161">
        <f t="shared" si="0"/>
        <v>1.8018018018018018E-2</v>
      </c>
      <c r="AE33" s="162">
        <f>Master_Data[[#This Row],[Imp. Level]]/SUMIF(Master_Data[Subject],Master_Data[[#This Row],[Subject]],Master_Data[Imp. Level])</f>
        <v>0.05</v>
      </c>
      <c r="AF33" s="144">
        <f>Master_Data[[#This Row],[Subjectwise weights]]*Master_Data[[#This Row],[Confidence Level]]</f>
        <v>0.15000000000000002</v>
      </c>
      <c r="AG33" s="145" t="str">
        <f>IF(AND(Master_Data[[#This Row],[Prac. Book]]="D",Master_Data[[#This Row],[GARP EOC Ques.]]="D"),"D","U")</f>
        <v>U</v>
      </c>
      <c r="AH33" s="255" t="str">
        <f>Master_Data[[#This Row],[GARP 10 Yr Papers]]</f>
        <v>U</v>
      </c>
    </row>
    <row r="34" spans="2:34" ht="27" customHeight="1">
      <c r="B34" s="3">
        <v>26</v>
      </c>
      <c r="C34" s="166" t="str">
        <f ca="1">IF(Master_Data[[#This Row],[Column1]]="Done","",IF(Master_Data[[#This Row],[Column1]]=MIN(Master_Data[Column1]),"Current Week",CONCATENATE("Week ",Master_Data[[#This Row],[Column1]])))</f>
        <v>Week 24</v>
      </c>
      <c r="D34" s="3">
        <f ca="1">IF(Master_Data[[#This Row],[Cum. Undone hrs]]=0,"Done",ROUNDUP(Master_Data[[#This Row],[Cum. Undone hrs]]/Working!$C$8,0))</f>
        <v>24</v>
      </c>
      <c r="E34" s="3">
        <f ca="1">IF(OR(D34=D33,D34=D33+1),Master_Data[[#This Row],[Column1]],D34-1)</f>
        <v>24</v>
      </c>
      <c r="F34" s="11">
        <f>SUM($G$9:G34)</f>
        <v>4.6993055555555561</v>
      </c>
      <c r="G34" s="256">
        <f>IF(Master_Data[[#This Row],[Lectures]]="D","",Master_Data[[#This Row],[Duration (hh:mm)]])</f>
        <v>0.14444444444444443</v>
      </c>
      <c r="H34" s="2" t="s">
        <v>169</v>
      </c>
      <c r="I34" s="2">
        <v>34</v>
      </c>
      <c r="J34" s="2" t="s">
        <v>95</v>
      </c>
      <c r="K34" s="36" t="s">
        <v>181</v>
      </c>
      <c r="L34" s="257">
        <v>1</v>
      </c>
      <c r="M34" s="12">
        <v>8</v>
      </c>
      <c r="N34" s="35">
        <v>3</v>
      </c>
      <c r="O34" s="35">
        <v>4</v>
      </c>
      <c r="P34" s="35">
        <v>4</v>
      </c>
      <c r="Q34" s="35">
        <v>4</v>
      </c>
      <c r="R34" s="35">
        <v>5</v>
      </c>
      <c r="S34" s="35">
        <v>5</v>
      </c>
      <c r="T34" s="254">
        <v>0.14444444444444443</v>
      </c>
      <c r="U34" s="34">
        <f>(SUM($T$9:T34)/$T$4)*100</f>
        <v>52.222565210680685</v>
      </c>
      <c r="V34" s="19" t="s">
        <v>6</v>
      </c>
      <c r="W34" s="19" t="s">
        <v>6</v>
      </c>
      <c r="X34" s="19" t="s">
        <v>6</v>
      </c>
      <c r="Y34" s="19" t="s">
        <v>6</v>
      </c>
      <c r="Z34" s="19" t="s">
        <v>6</v>
      </c>
      <c r="AA34" s="19" t="s">
        <v>6</v>
      </c>
      <c r="AB34" s="146">
        <v>3</v>
      </c>
      <c r="AC34" s="13"/>
      <c r="AD34" s="161">
        <f t="shared" si="0"/>
        <v>2.2522522522522521E-2</v>
      </c>
      <c r="AE34" s="162">
        <f>Master_Data[[#This Row],[Imp. Level]]/SUMIF(Master_Data[Subject],Master_Data[[#This Row],[Subject]],Master_Data[Imp. Level])</f>
        <v>6.25E-2</v>
      </c>
      <c r="AF34" s="144">
        <f>Master_Data[[#This Row],[Subjectwise weights]]*Master_Data[[#This Row],[Confidence Level]]</f>
        <v>0.1875</v>
      </c>
      <c r="AG34" s="145" t="str">
        <f>IF(AND(Master_Data[[#This Row],[Prac. Book]]="D",Master_Data[[#This Row],[GARP EOC Ques.]]="D"),"D","U")</f>
        <v>U</v>
      </c>
      <c r="AH34" s="255" t="str">
        <f>Master_Data[[#This Row],[GARP 10 Yr Papers]]</f>
        <v>U</v>
      </c>
    </row>
    <row r="35" spans="2:34" ht="27" customHeight="1">
      <c r="B35" s="3">
        <v>27</v>
      </c>
      <c r="C35" s="166" t="str">
        <f ca="1">IF(Master_Data[[#This Row],[Column1]]="Done","",IF(Master_Data[[#This Row],[Column1]]=MIN(Master_Data[Column1]),"Current Week",CONCATENATE("Week ",Master_Data[[#This Row],[Column1]])))</f>
        <v>Week 25</v>
      </c>
      <c r="D35" s="3">
        <f ca="1">IF(Master_Data[[#This Row],[Cum. Undone hrs]]=0,"Done",ROUNDUP(Master_Data[[#This Row],[Cum. Undone hrs]]/Working!$C$8,0))</f>
        <v>25</v>
      </c>
      <c r="E35" s="3">
        <f ca="1">IF(OR(D35=D34,D35=D34+1),Master_Data[[#This Row],[Column1]],D35-1)</f>
        <v>25</v>
      </c>
      <c r="F35" s="11">
        <f>SUM($G$9:G35)</f>
        <v>4.8562500000000002</v>
      </c>
      <c r="G35" s="256">
        <f>IF(Master_Data[[#This Row],[Lectures]]="D","",Master_Data[[#This Row],[Duration (hh:mm)]])</f>
        <v>0.15694444444444444</v>
      </c>
      <c r="H35" s="2" t="s">
        <v>169</v>
      </c>
      <c r="I35" s="2">
        <v>31</v>
      </c>
      <c r="J35" s="2" t="s">
        <v>95</v>
      </c>
      <c r="K35" s="36" t="s">
        <v>182</v>
      </c>
      <c r="L35" s="257">
        <v>1</v>
      </c>
      <c r="M35" s="12">
        <v>9</v>
      </c>
      <c r="N35" s="35">
        <v>3</v>
      </c>
      <c r="O35" s="35">
        <v>3</v>
      </c>
      <c r="P35" s="35">
        <v>3</v>
      </c>
      <c r="Q35" s="35">
        <v>4</v>
      </c>
      <c r="R35" s="35">
        <v>4</v>
      </c>
      <c r="S35" s="35">
        <v>4</v>
      </c>
      <c r="T35" s="254">
        <v>0.15694444444444444</v>
      </c>
      <c r="U35" s="34">
        <f>(SUM($T$9:T35)/$T$4)*100</f>
        <v>53.966661521839811</v>
      </c>
      <c r="V35" s="19" t="s">
        <v>6</v>
      </c>
      <c r="W35" s="19" t="s">
        <v>6</v>
      </c>
      <c r="X35" s="19" t="s">
        <v>6</v>
      </c>
      <c r="Y35" s="19" t="s">
        <v>6</v>
      </c>
      <c r="Z35" s="19" t="s">
        <v>6</v>
      </c>
      <c r="AA35" s="19" t="s">
        <v>6</v>
      </c>
      <c r="AB35" s="146">
        <v>4</v>
      </c>
      <c r="AC35" s="13"/>
      <c r="AD35" s="161">
        <f t="shared" si="0"/>
        <v>1.8018018018018018E-2</v>
      </c>
      <c r="AE35" s="162">
        <f>Master_Data[[#This Row],[Imp. Level]]/SUMIF(Master_Data[Subject],Master_Data[[#This Row],[Subject]],Master_Data[Imp. Level])</f>
        <v>0.05</v>
      </c>
      <c r="AF35" s="144">
        <f>Master_Data[[#This Row],[Subjectwise weights]]*Master_Data[[#This Row],[Confidence Level]]</f>
        <v>0.2</v>
      </c>
      <c r="AG35" s="145" t="str">
        <f>IF(AND(Master_Data[[#This Row],[Prac. Book]]="D",Master_Data[[#This Row],[GARP EOC Ques.]]="D"),"D","U")</f>
        <v>U</v>
      </c>
      <c r="AH35" s="255" t="str">
        <f>Master_Data[[#This Row],[GARP 10 Yr Papers]]</f>
        <v>U</v>
      </c>
    </row>
    <row r="36" spans="2:34" ht="27" customHeight="1">
      <c r="B36" s="3">
        <v>28</v>
      </c>
      <c r="C36" s="166" t="str">
        <f ca="1">IF(Master_Data[[#This Row],[Column1]]="Done","",IF(Master_Data[[#This Row],[Column1]]=MIN(Master_Data[Column1]),"Current Week",CONCATENATE("Week ",Master_Data[[#This Row],[Column1]])))</f>
        <v>Week 26</v>
      </c>
      <c r="D36" s="3">
        <f ca="1">IF(Master_Data[[#This Row],[Cum. Undone hrs]]=0,"Done",ROUNDUP(Master_Data[[#This Row],[Cum. Undone hrs]]/Working!$C$8,0))</f>
        <v>26</v>
      </c>
      <c r="E36" s="3">
        <f ca="1">IF(OR(D36=D35,D36=D35+1),Master_Data[[#This Row],[Column1]],D36-1)</f>
        <v>26</v>
      </c>
      <c r="F36" s="11">
        <f>SUM($G$9:G36)</f>
        <v>4.9541666666666666</v>
      </c>
      <c r="G36" s="256">
        <f>IF(Master_Data[[#This Row],[Lectures]]="D","",Master_Data[[#This Row],[Duration (hh:mm)]])</f>
        <v>9.7916666666666666E-2</v>
      </c>
      <c r="H36" s="2" t="s">
        <v>169</v>
      </c>
      <c r="I36" s="2">
        <v>32</v>
      </c>
      <c r="J36" s="2" t="s">
        <v>95</v>
      </c>
      <c r="K36" s="36" t="s">
        <v>183</v>
      </c>
      <c r="L36" s="257">
        <v>1</v>
      </c>
      <c r="M36" s="12">
        <v>9</v>
      </c>
      <c r="N36" s="35">
        <v>2</v>
      </c>
      <c r="O36" s="35">
        <v>1</v>
      </c>
      <c r="P36" s="35">
        <v>3</v>
      </c>
      <c r="Q36" s="35">
        <v>4</v>
      </c>
      <c r="R36" s="35">
        <v>3</v>
      </c>
      <c r="S36" s="35">
        <v>4</v>
      </c>
      <c r="T36" s="254">
        <v>9.7916666666666666E-2</v>
      </c>
      <c r="U36" s="34">
        <f>(SUM($T$9:T36)/$T$4)*100</f>
        <v>55.054792406235542</v>
      </c>
      <c r="V36" s="19" t="s">
        <v>6</v>
      </c>
      <c r="W36" s="19" t="s">
        <v>6</v>
      </c>
      <c r="X36" s="19" t="s">
        <v>6</v>
      </c>
      <c r="Y36" s="19" t="s">
        <v>6</v>
      </c>
      <c r="Z36" s="19" t="s">
        <v>6</v>
      </c>
      <c r="AA36" s="19" t="s">
        <v>6</v>
      </c>
      <c r="AB36" s="146">
        <v>5</v>
      </c>
      <c r="AC36" s="13"/>
      <c r="AD36" s="161">
        <f t="shared" si="0"/>
        <v>1.3513513513513514E-2</v>
      </c>
      <c r="AE36" s="162">
        <f>Master_Data[[#This Row],[Imp. Level]]/SUMIF(Master_Data[Subject],Master_Data[[#This Row],[Subject]],Master_Data[Imp. Level])</f>
        <v>3.7499999999999999E-2</v>
      </c>
      <c r="AF36" s="144">
        <f>Master_Data[[#This Row],[Subjectwise weights]]*Master_Data[[#This Row],[Confidence Level]]</f>
        <v>0.1875</v>
      </c>
      <c r="AG36" s="145" t="str">
        <f>IF(AND(Master_Data[[#This Row],[Prac. Book]]="D",Master_Data[[#This Row],[GARP EOC Ques.]]="D"),"D","U")</f>
        <v>U</v>
      </c>
      <c r="AH36" s="255" t="str">
        <f>Master_Data[[#This Row],[GARP 10 Yr Papers]]</f>
        <v>U</v>
      </c>
    </row>
    <row r="37" spans="2:34" ht="27" customHeight="1">
      <c r="B37" s="3">
        <v>29</v>
      </c>
      <c r="C37" s="166" t="str">
        <f ca="1">IF(Master_Data[[#This Row],[Column1]]="Done","",IF(Master_Data[[#This Row],[Column1]]=MIN(Master_Data[Column1]),"Current Week",CONCATENATE("Week ",Master_Data[[#This Row],[Column1]])))</f>
        <v>Week 26</v>
      </c>
      <c r="D37" s="3">
        <f ca="1">IF(Master_Data[[#This Row],[Cum. Undone hrs]]=0,"Done",ROUNDUP(Master_Data[[#This Row],[Cum. Undone hrs]]/Working!$C$8,0))</f>
        <v>26</v>
      </c>
      <c r="E37" s="3">
        <f ca="1">IF(OR(D37=D36,D37=D36+1),Master_Data[[#This Row],[Column1]],D37-1)</f>
        <v>26</v>
      </c>
      <c r="F37" s="11">
        <f>SUM($G$9:G37)</f>
        <v>5.0854166666666663</v>
      </c>
      <c r="G37" s="256">
        <f>IF(Master_Data[[#This Row],[Lectures]]="D","",Master_Data[[#This Row],[Duration (hh:mm)]])</f>
        <v>0.13125000000000001</v>
      </c>
      <c r="H37" s="2" t="s">
        <v>169</v>
      </c>
      <c r="I37" s="2">
        <v>40</v>
      </c>
      <c r="J37" s="2" t="s">
        <v>95</v>
      </c>
      <c r="K37" s="36" t="s">
        <v>184</v>
      </c>
      <c r="L37" s="257">
        <v>1</v>
      </c>
      <c r="M37" s="12">
        <v>4</v>
      </c>
      <c r="N37" s="35">
        <v>4</v>
      </c>
      <c r="O37" s="35">
        <v>5</v>
      </c>
      <c r="P37" s="35">
        <v>4</v>
      </c>
      <c r="Q37" s="35">
        <v>5</v>
      </c>
      <c r="R37" s="35">
        <v>4</v>
      </c>
      <c r="S37" s="35">
        <v>4</v>
      </c>
      <c r="T37" s="254">
        <v>0.13125000000000001</v>
      </c>
      <c r="U37" s="34">
        <f>(SUM($T$9:T37)/$T$4)*100</f>
        <v>56.513350825744723</v>
      </c>
      <c r="V37" s="19" t="s">
        <v>6</v>
      </c>
      <c r="W37" s="19" t="s">
        <v>6</v>
      </c>
      <c r="X37" s="19" t="s">
        <v>6</v>
      </c>
      <c r="Y37" s="19" t="s">
        <v>6</v>
      </c>
      <c r="Z37" s="19" t="s">
        <v>6</v>
      </c>
      <c r="AA37" s="19" t="s">
        <v>6</v>
      </c>
      <c r="AB37" s="146">
        <v>2</v>
      </c>
      <c r="AC37" s="13"/>
      <c r="AD37" s="161">
        <f t="shared" si="0"/>
        <v>1.8018018018018018E-2</v>
      </c>
      <c r="AE37" s="162">
        <f>Master_Data[[#This Row],[Imp. Level]]/SUMIF(Master_Data[Subject],Master_Data[[#This Row],[Subject]],Master_Data[Imp. Level])</f>
        <v>0.05</v>
      </c>
      <c r="AF37" s="144">
        <f>Master_Data[[#This Row],[Subjectwise weights]]*Master_Data[[#This Row],[Confidence Level]]</f>
        <v>0.1</v>
      </c>
      <c r="AG37" s="145" t="str">
        <f>IF(AND(Master_Data[[#This Row],[Prac. Book]]="D",Master_Data[[#This Row],[GARP EOC Ques.]]="D"),"D","U")</f>
        <v>U</v>
      </c>
      <c r="AH37" s="255" t="str">
        <f>Master_Data[[#This Row],[GARP 10 Yr Papers]]</f>
        <v>U</v>
      </c>
    </row>
    <row r="38" spans="2:34" ht="27" customHeight="1">
      <c r="B38" s="3">
        <v>30</v>
      </c>
      <c r="C38" s="166" t="str">
        <f ca="1">IF(Master_Data[[#This Row],[Column1]]="Done","",IF(Master_Data[[#This Row],[Column1]]=MIN(Master_Data[Column1]),"Current Week",CONCATENATE("Week ",Master_Data[[#This Row],[Column1]])))</f>
        <v>Week 27</v>
      </c>
      <c r="D38" s="3">
        <f ca="1">IF(Master_Data[[#This Row],[Cum. Undone hrs]]=0,"Done",ROUNDUP(Master_Data[[#This Row],[Cum. Undone hrs]]/Working!$C$8,0))</f>
        <v>27</v>
      </c>
      <c r="E38" s="3">
        <f ca="1">IF(OR(D38=D37,D38=D37+1),Master_Data[[#This Row],[Column1]],D38-1)</f>
        <v>27</v>
      </c>
      <c r="F38" s="11">
        <f>SUM($G$9:G38)</f>
        <v>5.1597222222222214</v>
      </c>
      <c r="G38" s="256">
        <f>IF(Master_Data[[#This Row],[Lectures]]="D","",Master_Data[[#This Row],[Duration (hh:mm)]])</f>
        <v>7.4305555555555555E-2</v>
      </c>
      <c r="H38" s="2" t="s">
        <v>185</v>
      </c>
      <c r="I38" s="2">
        <v>60</v>
      </c>
      <c r="J38" s="2" t="s">
        <v>95</v>
      </c>
      <c r="K38" s="36" t="s">
        <v>186</v>
      </c>
      <c r="L38" s="257">
        <v>1</v>
      </c>
      <c r="M38" s="12">
        <v>5</v>
      </c>
      <c r="N38" s="35">
        <v>3</v>
      </c>
      <c r="O38" s="35">
        <v>5</v>
      </c>
      <c r="P38" s="35">
        <v>4</v>
      </c>
      <c r="Q38" s="35">
        <v>5</v>
      </c>
      <c r="R38" s="35">
        <v>5</v>
      </c>
      <c r="S38" s="35">
        <v>4</v>
      </c>
      <c r="T38" s="254">
        <v>7.4305555555555555E-2</v>
      </c>
      <c r="U38" s="34">
        <f>(SUM($T$9:T38)/$T$4)*100</f>
        <v>57.339095539435107</v>
      </c>
      <c r="V38" s="19" t="s">
        <v>6</v>
      </c>
      <c r="W38" s="19" t="s">
        <v>6</v>
      </c>
      <c r="X38" s="19" t="s">
        <v>6</v>
      </c>
      <c r="Y38" s="19" t="s">
        <v>6</v>
      </c>
      <c r="Z38" s="19" t="s">
        <v>6</v>
      </c>
      <c r="AA38" s="19" t="s">
        <v>6</v>
      </c>
      <c r="AB38" s="146">
        <v>2</v>
      </c>
      <c r="AC38" s="13"/>
      <c r="AD38" s="161">
        <f t="shared" si="0"/>
        <v>2.2522522522522521E-2</v>
      </c>
      <c r="AE38" s="162">
        <f>Master_Data[[#This Row],[Imp. Level]]/SUMIF(Master_Data[Subject],Master_Data[[#This Row],[Subject]],Master_Data[Imp. Level])</f>
        <v>7.8125E-2</v>
      </c>
      <c r="AF38" s="144">
        <f>Master_Data[[#This Row],[Subjectwise weights]]*Master_Data[[#This Row],[Confidence Level]]</f>
        <v>0.15625</v>
      </c>
      <c r="AG38" s="145" t="str">
        <f>IF(AND(Master_Data[[#This Row],[Prac. Book]]="D",Master_Data[[#This Row],[GARP EOC Ques.]]="D"),"D","U")</f>
        <v>U</v>
      </c>
      <c r="AH38" s="255" t="str">
        <f>Master_Data[[#This Row],[GARP 10 Yr Papers]]</f>
        <v>U</v>
      </c>
    </row>
    <row r="39" spans="2:34" ht="27" customHeight="1">
      <c r="B39" s="3">
        <v>31</v>
      </c>
      <c r="C39" s="166" t="str">
        <f ca="1">IF(Master_Data[[#This Row],[Column1]]="Done","",IF(Master_Data[[#This Row],[Column1]]=MIN(Master_Data[Column1]),"Current Week",CONCATENATE("Week ",Master_Data[[#This Row],[Column1]])))</f>
        <v>Week 27</v>
      </c>
      <c r="D39" s="3">
        <f ca="1">IF(Master_Data[[#This Row],[Cum. Undone hrs]]=0,"Done",ROUNDUP(Master_Data[[#This Row],[Cum. Undone hrs]]/Working!$C$8,0))</f>
        <v>27</v>
      </c>
      <c r="E39" s="3">
        <f ca="1">IF(OR(D39=D38,D39=D38+1),Master_Data[[#This Row],[Column1]],D39-1)</f>
        <v>27</v>
      </c>
      <c r="F39" s="11">
        <f>SUM($G$9:G39)</f>
        <v>5.2652777777777766</v>
      </c>
      <c r="G39" s="256">
        <f>IF(Master_Data[[#This Row],[Lectures]]="D","",Master_Data[[#This Row],[Duration (hh:mm)]])</f>
        <v>0.10555555555555556</v>
      </c>
      <c r="H39" s="2" t="s">
        <v>185</v>
      </c>
      <c r="I39" s="2">
        <v>61</v>
      </c>
      <c r="J39" s="2" t="s">
        <v>95</v>
      </c>
      <c r="K39" s="36" t="s">
        <v>224</v>
      </c>
      <c r="L39" s="257">
        <v>1</v>
      </c>
      <c r="M39" s="12">
        <v>8</v>
      </c>
      <c r="N39" s="35">
        <v>3</v>
      </c>
      <c r="O39" s="35">
        <v>5</v>
      </c>
      <c r="P39" s="35">
        <v>5</v>
      </c>
      <c r="Q39" s="35">
        <v>5</v>
      </c>
      <c r="R39" s="35">
        <v>5</v>
      </c>
      <c r="S39" s="35">
        <v>4</v>
      </c>
      <c r="T39" s="254">
        <v>0.10555555555555556</v>
      </c>
      <c r="U39" s="34">
        <f>(SUM($T$9:T39)/$T$4)*100</f>
        <v>58.512116067294343</v>
      </c>
      <c r="V39" s="19" t="s">
        <v>6</v>
      </c>
      <c r="W39" s="19" t="s">
        <v>6</v>
      </c>
      <c r="X39" s="19" t="s">
        <v>6</v>
      </c>
      <c r="Y39" s="19" t="s">
        <v>6</v>
      </c>
      <c r="Z39" s="19" t="s">
        <v>6</v>
      </c>
      <c r="AA39" s="19" t="s">
        <v>6</v>
      </c>
      <c r="AB39" s="146">
        <v>2</v>
      </c>
      <c r="AC39" s="13"/>
      <c r="AD39" s="161">
        <f t="shared" si="0"/>
        <v>2.2522522522522521E-2</v>
      </c>
      <c r="AE39" s="162">
        <f>Master_Data[[#This Row],[Imp. Level]]/SUMIF(Master_Data[Subject],Master_Data[[#This Row],[Subject]],Master_Data[Imp. Level])</f>
        <v>7.8125E-2</v>
      </c>
      <c r="AF39" s="144">
        <f>Master_Data[[#This Row],[Subjectwise weights]]*Master_Data[[#This Row],[Confidence Level]]</f>
        <v>0.15625</v>
      </c>
      <c r="AG39" s="145" t="str">
        <f>IF(AND(Master_Data[[#This Row],[Prac. Book]]="D",Master_Data[[#This Row],[GARP EOC Ques.]]="D"),"D","U")</f>
        <v>U</v>
      </c>
      <c r="AH39" s="255" t="str">
        <f>Master_Data[[#This Row],[GARP 10 Yr Papers]]</f>
        <v>U</v>
      </c>
    </row>
    <row r="40" spans="2:34" ht="27" customHeight="1">
      <c r="B40" s="3">
        <v>32</v>
      </c>
      <c r="C40" s="166" t="str">
        <f ca="1">IF(Master_Data[[#This Row],[Column1]]="Done","",IF(Master_Data[[#This Row],[Column1]]=MIN(Master_Data[Column1]),"Current Week",CONCATENATE("Week ",Master_Data[[#This Row],[Column1]])))</f>
        <v>Week 28</v>
      </c>
      <c r="D40" s="3">
        <f ca="1">IF(Master_Data[[#This Row],[Cum. Undone hrs]]=0,"Done",ROUNDUP(Master_Data[[#This Row],[Cum. Undone hrs]]/Working!$C$8,0))</f>
        <v>28</v>
      </c>
      <c r="E40" s="3">
        <f ca="1">IF(OR(D40=D39,D40=D39+1),Master_Data[[#This Row],[Column1]],D40-1)</f>
        <v>28</v>
      </c>
      <c r="F40" s="11">
        <f>SUM($G$9:G40)</f>
        <v>5.4208333333333325</v>
      </c>
      <c r="G40" s="256">
        <f>IF(Master_Data[[#This Row],[Lectures]]="D","",Master_Data[[#This Row],[Duration (hh:mm)]])</f>
        <v>0.15555555555555556</v>
      </c>
      <c r="H40" s="2" t="s">
        <v>185</v>
      </c>
      <c r="I40" s="2">
        <v>62</v>
      </c>
      <c r="J40" s="2" t="s">
        <v>95</v>
      </c>
      <c r="K40" s="36" t="s">
        <v>225</v>
      </c>
      <c r="L40" s="257">
        <v>1</v>
      </c>
      <c r="M40" s="12">
        <v>9</v>
      </c>
      <c r="N40" s="35">
        <v>4</v>
      </c>
      <c r="O40" s="35">
        <v>3</v>
      </c>
      <c r="P40" s="35">
        <v>5</v>
      </c>
      <c r="Q40" s="35">
        <v>5</v>
      </c>
      <c r="R40" s="35">
        <v>5</v>
      </c>
      <c r="S40" s="35">
        <v>5</v>
      </c>
      <c r="T40" s="254">
        <v>0.15555555555555556</v>
      </c>
      <c r="U40" s="34">
        <f>(SUM($T$9:T40)/$T$4)*100</f>
        <v>60.240777897823747</v>
      </c>
      <c r="V40" s="19" t="s">
        <v>6</v>
      </c>
      <c r="W40" s="19" t="s">
        <v>6</v>
      </c>
      <c r="X40" s="19" t="s">
        <v>6</v>
      </c>
      <c r="Y40" s="19" t="s">
        <v>6</v>
      </c>
      <c r="Z40" s="19" t="s">
        <v>6</v>
      </c>
      <c r="AA40" s="19" t="s">
        <v>6</v>
      </c>
      <c r="AB40" s="146">
        <v>3</v>
      </c>
      <c r="AC40" s="13"/>
      <c r="AD40" s="161">
        <f t="shared" si="0"/>
        <v>2.2522522522522521E-2</v>
      </c>
      <c r="AE40" s="162">
        <f>Master_Data[[#This Row],[Imp. Level]]/SUMIF(Master_Data[Subject],Master_Data[[#This Row],[Subject]],Master_Data[Imp. Level])</f>
        <v>7.8125E-2</v>
      </c>
      <c r="AF40" s="144">
        <f>Master_Data[[#This Row],[Subjectwise weights]]*Master_Data[[#This Row],[Confidence Level]]</f>
        <v>0.234375</v>
      </c>
      <c r="AG40" s="145" t="str">
        <f>IF(AND(Master_Data[[#This Row],[Prac. Book]]="D",Master_Data[[#This Row],[GARP EOC Ques.]]="D"),"D","U")</f>
        <v>U</v>
      </c>
      <c r="AH40" s="255" t="str">
        <f>Master_Data[[#This Row],[GARP 10 Yr Papers]]</f>
        <v>U</v>
      </c>
    </row>
    <row r="41" spans="2:34" ht="27" customHeight="1">
      <c r="B41" s="3">
        <v>33</v>
      </c>
      <c r="C41" s="166" t="str">
        <f ca="1">IF(Master_Data[[#This Row],[Column1]]="Done","",IF(Master_Data[[#This Row],[Column1]]=MIN(Master_Data[Column1]),"Current Week",CONCATENATE("Week ",Master_Data[[#This Row],[Column1]])))</f>
        <v>Week 29</v>
      </c>
      <c r="D41" s="3">
        <f ca="1">IF(Master_Data[[#This Row],[Cum. Undone hrs]]=0,"Done",ROUNDUP(Master_Data[[#This Row],[Cum. Undone hrs]]/Working!$C$8,0))</f>
        <v>29</v>
      </c>
      <c r="E41" s="3">
        <f ca="1">IF(OR(D41=D40,D41=D40+1),Master_Data[[#This Row],[Column1]],D41-1)</f>
        <v>29</v>
      </c>
      <c r="F41" s="11">
        <f>SUM($G$9:G41)</f>
        <v>5.5173611111111107</v>
      </c>
      <c r="G41" s="256">
        <f>IF(Master_Data[[#This Row],[Lectures]]="D","",Master_Data[[#This Row],[Duration (hh:mm)]])</f>
        <v>9.6527777777777782E-2</v>
      </c>
      <c r="H41" s="2" t="s">
        <v>169</v>
      </c>
      <c r="I41" s="2">
        <v>41</v>
      </c>
      <c r="J41" s="2" t="s">
        <v>95</v>
      </c>
      <c r="K41" s="36" t="s">
        <v>187</v>
      </c>
      <c r="L41" s="257">
        <v>1</v>
      </c>
      <c r="M41" s="12">
        <v>7</v>
      </c>
      <c r="N41" s="35">
        <v>4</v>
      </c>
      <c r="O41" s="35">
        <v>3</v>
      </c>
      <c r="P41" s="35">
        <v>5</v>
      </c>
      <c r="Q41" s="35">
        <v>5</v>
      </c>
      <c r="R41" s="35">
        <v>3</v>
      </c>
      <c r="S41" s="35">
        <v>4</v>
      </c>
      <c r="T41" s="254">
        <v>9.6527777777777782E-2</v>
      </c>
      <c r="U41" s="34">
        <f>(SUM($T$9:T41)/$T$4)*100</f>
        <v>61.313474301589764</v>
      </c>
      <c r="V41" s="19" t="s">
        <v>6</v>
      </c>
      <c r="W41" s="19" t="s">
        <v>6</v>
      </c>
      <c r="X41" s="19" t="s">
        <v>6</v>
      </c>
      <c r="Y41" s="19" t="s">
        <v>6</v>
      </c>
      <c r="Z41" s="19" t="s">
        <v>6</v>
      </c>
      <c r="AA41" s="19" t="s">
        <v>6</v>
      </c>
      <c r="AB41" s="146">
        <v>2</v>
      </c>
      <c r="AC41" s="13"/>
      <c r="AD41" s="161">
        <f t="shared" ref="AD41:AD65" si="1">R41/SUM($R$9:$R$65)</f>
        <v>1.3513513513513514E-2</v>
      </c>
      <c r="AE41" s="162">
        <f>Master_Data[[#This Row],[Imp. Level]]/SUMIF(Master_Data[Subject],Master_Data[[#This Row],[Subject]],Master_Data[Imp. Level])</f>
        <v>3.7499999999999999E-2</v>
      </c>
      <c r="AF41" s="144">
        <f>Master_Data[[#This Row],[Subjectwise weights]]*Master_Data[[#This Row],[Confidence Level]]</f>
        <v>7.4999999999999997E-2</v>
      </c>
      <c r="AG41" s="145" t="str">
        <f>IF(AND(Master_Data[[#This Row],[Prac. Book]]="D",Master_Data[[#This Row],[GARP EOC Ques.]]="D"),"D","U")</f>
        <v>U</v>
      </c>
      <c r="AH41" s="255" t="str">
        <f>Master_Data[[#This Row],[GARP 10 Yr Papers]]</f>
        <v>U</v>
      </c>
    </row>
    <row r="42" spans="2:34" ht="27" customHeight="1">
      <c r="B42" s="3">
        <v>34</v>
      </c>
      <c r="C42" s="166" t="str">
        <f ca="1">IF(Master_Data[[#This Row],[Column1]]="Done","",IF(Master_Data[[#This Row],[Column1]]=MIN(Master_Data[Column1]),"Current Week",CONCATENATE("Week ",Master_Data[[#This Row],[Column1]])))</f>
        <v>Week 29</v>
      </c>
      <c r="D42" s="3">
        <f ca="1">IF(Master_Data[[#This Row],[Cum. Undone hrs]]=0,"Done",ROUNDUP(Master_Data[[#This Row],[Cum. Undone hrs]]/Working!$C$8,0))</f>
        <v>29</v>
      </c>
      <c r="E42" s="3">
        <f ca="1">IF(OR(D42=D41,D42=D41+1),Master_Data[[#This Row],[Column1]],D42-1)</f>
        <v>29</v>
      </c>
      <c r="F42" s="11">
        <f>SUM($G$9:G42)</f>
        <v>5.5555555555555554</v>
      </c>
      <c r="G42" s="256">
        <f>IF(Master_Data[[#This Row],[Lectures]]="D","",Master_Data[[#This Row],[Duration (hh:mm)]])</f>
        <v>3.8194444444444448E-2</v>
      </c>
      <c r="H42" s="2" t="s">
        <v>163</v>
      </c>
      <c r="I42" s="2">
        <v>11</v>
      </c>
      <c r="J42" s="2" t="s">
        <v>95</v>
      </c>
      <c r="K42" s="36" t="s">
        <v>188</v>
      </c>
      <c r="L42" s="257">
        <v>1</v>
      </c>
      <c r="M42" s="12">
        <v>2</v>
      </c>
      <c r="N42" s="35">
        <v>2</v>
      </c>
      <c r="O42" s="35">
        <v>1</v>
      </c>
      <c r="P42" s="35">
        <v>2</v>
      </c>
      <c r="Q42" s="35">
        <v>3</v>
      </c>
      <c r="R42" s="35">
        <v>4</v>
      </c>
      <c r="S42" s="35">
        <v>4</v>
      </c>
      <c r="T42" s="254">
        <v>3.8194444444444448E-2</v>
      </c>
      <c r="U42" s="34">
        <f>(SUM($T$9:T42)/$T$4)*100</f>
        <v>61.737922518907254</v>
      </c>
      <c r="V42" s="19" t="s">
        <v>6</v>
      </c>
      <c r="W42" s="19" t="s">
        <v>6</v>
      </c>
      <c r="X42" s="19" t="s">
        <v>6</v>
      </c>
      <c r="Y42" s="19" t="s">
        <v>6</v>
      </c>
      <c r="Z42" s="19" t="s">
        <v>6</v>
      </c>
      <c r="AA42" s="19" t="s">
        <v>6</v>
      </c>
      <c r="AB42" s="146">
        <v>3</v>
      </c>
      <c r="AC42" s="13"/>
      <c r="AD42" s="161">
        <f t="shared" si="1"/>
        <v>1.8018018018018018E-2</v>
      </c>
      <c r="AE42" s="162">
        <f>Master_Data[[#This Row],[Imp. Level]]/SUMIF(Master_Data[Subject],Master_Data[[#This Row],[Subject]],Master_Data[Imp. Level])</f>
        <v>0.10256410256410256</v>
      </c>
      <c r="AF42" s="144">
        <f>Master_Data[[#This Row],[Subjectwise weights]]*Master_Data[[#This Row],[Confidence Level]]</f>
        <v>0.30769230769230771</v>
      </c>
      <c r="AG42" s="145" t="str">
        <f>IF(AND(Master_Data[[#This Row],[Prac. Book]]="D",Master_Data[[#This Row],[GARP EOC Ques.]]="D"),"D","U")</f>
        <v>U</v>
      </c>
      <c r="AH42" s="255" t="str">
        <f>Master_Data[[#This Row],[GARP 10 Yr Papers]]</f>
        <v>U</v>
      </c>
    </row>
    <row r="43" spans="2:34" ht="27" customHeight="1">
      <c r="B43" s="3">
        <v>35</v>
      </c>
      <c r="C43" s="166" t="str">
        <f ca="1">IF(Master_Data[[#This Row],[Column1]]="Done","",IF(Master_Data[[#This Row],[Column1]]=MIN(Master_Data[Column1]),"Current Week",CONCATENATE("Week ",Master_Data[[#This Row],[Column1]])))</f>
        <v>Week 29</v>
      </c>
      <c r="D43" s="3">
        <f ca="1">IF(Master_Data[[#This Row],[Cum. Undone hrs]]=0,"Done",ROUNDUP(Master_Data[[#This Row],[Cum. Undone hrs]]/Working!$C$8,0))</f>
        <v>29</v>
      </c>
      <c r="E43" s="3">
        <f ca="1">IF(OR(D43=D42,D43=D42+1),Master_Data[[#This Row],[Column1]],D43-1)</f>
        <v>29</v>
      </c>
      <c r="F43" s="11">
        <f>SUM($G$9:G43)</f>
        <v>5.6076388888888884</v>
      </c>
      <c r="G43" s="256">
        <f>IF(Master_Data[[#This Row],[Lectures]]="D","",Master_Data[[#This Row],[Duration (hh:mm)]])</f>
        <v>5.2083333333333336E-2</v>
      </c>
      <c r="H43" s="2" t="s">
        <v>163</v>
      </c>
      <c r="I43" s="2">
        <v>7</v>
      </c>
      <c r="J43" s="2" t="s">
        <v>95</v>
      </c>
      <c r="K43" s="36" t="s">
        <v>189</v>
      </c>
      <c r="L43" s="257">
        <v>1</v>
      </c>
      <c r="M43" s="12">
        <v>4</v>
      </c>
      <c r="N43" s="35">
        <v>2</v>
      </c>
      <c r="O43" s="35">
        <v>1</v>
      </c>
      <c r="P43" s="35">
        <v>2</v>
      </c>
      <c r="Q43" s="35">
        <v>4</v>
      </c>
      <c r="R43" s="35">
        <v>2</v>
      </c>
      <c r="S43" s="35">
        <v>3</v>
      </c>
      <c r="T43" s="254">
        <v>5.2083333333333336E-2</v>
      </c>
      <c r="U43" s="34">
        <f>(SUM($T$9:T43)/$T$4)*100</f>
        <v>62.316715542522005</v>
      </c>
      <c r="V43" s="19" t="s">
        <v>6</v>
      </c>
      <c r="W43" s="19" t="s">
        <v>6</v>
      </c>
      <c r="X43" s="19" t="s">
        <v>6</v>
      </c>
      <c r="Y43" s="19" t="s">
        <v>6</v>
      </c>
      <c r="Z43" s="19" t="s">
        <v>6</v>
      </c>
      <c r="AA43" s="19" t="s">
        <v>6</v>
      </c>
      <c r="AB43" s="146">
        <v>3</v>
      </c>
      <c r="AC43" s="13"/>
      <c r="AD43" s="161">
        <f t="shared" si="1"/>
        <v>9.0090090090090089E-3</v>
      </c>
      <c r="AE43" s="162">
        <f>Master_Data[[#This Row],[Imp. Level]]/SUMIF(Master_Data[Subject],Master_Data[[#This Row],[Subject]],Master_Data[Imp. Level])</f>
        <v>5.128205128205128E-2</v>
      </c>
      <c r="AF43" s="144">
        <f>Master_Data[[#This Row],[Subjectwise weights]]*Master_Data[[#This Row],[Confidence Level]]</f>
        <v>0.15384615384615385</v>
      </c>
      <c r="AG43" s="145" t="str">
        <f>IF(AND(Master_Data[[#This Row],[Prac. Book]]="D",Master_Data[[#This Row],[GARP EOC Ques.]]="D"),"D","U")</f>
        <v>U</v>
      </c>
      <c r="AH43" s="255" t="str">
        <f>Master_Data[[#This Row],[GARP 10 Yr Papers]]</f>
        <v>U</v>
      </c>
    </row>
    <row r="44" spans="2:34" ht="27" customHeight="1">
      <c r="B44" s="3">
        <v>36</v>
      </c>
      <c r="C44" s="166" t="str">
        <f ca="1">IF(Master_Data[[#This Row],[Column1]]="Done","",IF(Master_Data[[#This Row],[Column1]]=MIN(Master_Data[Column1]),"Current Week",CONCATENATE("Week ",Master_Data[[#This Row],[Column1]])))</f>
        <v>Week 29</v>
      </c>
      <c r="D44" s="3">
        <f ca="1">IF(Master_Data[[#This Row],[Cum. Undone hrs]]=0,"Done",ROUNDUP(Master_Data[[#This Row],[Cum. Undone hrs]]/Working!$C$8,0))</f>
        <v>29</v>
      </c>
      <c r="E44" s="3">
        <f ca="1">IF(OR(D44=D43,D44=D43+1),Master_Data[[#This Row],[Column1]],D44-1)</f>
        <v>29</v>
      </c>
      <c r="F44" s="11">
        <f>SUM($G$9:G44)</f>
        <v>5.6791666666666663</v>
      </c>
      <c r="G44" s="256">
        <f>IF(Master_Data[[#This Row],[Lectures]]="D","",Master_Data[[#This Row],[Duration (hh:mm)]])</f>
        <v>7.1527777777777773E-2</v>
      </c>
      <c r="H44" s="2" t="s">
        <v>169</v>
      </c>
      <c r="I44" s="2">
        <v>42</v>
      </c>
      <c r="J44" s="2" t="s">
        <v>94</v>
      </c>
      <c r="K44" s="36" t="s">
        <v>190</v>
      </c>
      <c r="L44" s="257">
        <v>1</v>
      </c>
      <c r="M44" s="12">
        <v>11</v>
      </c>
      <c r="N44" s="35">
        <v>3</v>
      </c>
      <c r="O44" s="35">
        <v>4</v>
      </c>
      <c r="P44" s="35">
        <v>4</v>
      </c>
      <c r="Q44" s="35">
        <v>5</v>
      </c>
      <c r="R44" s="35">
        <v>5</v>
      </c>
      <c r="S44" s="35">
        <v>4</v>
      </c>
      <c r="T44" s="254">
        <v>7.1527777777777773E-2</v>
      </c>
      <c r="U44" s="34">
        <f>(SUM($T$9:T44)/$T$4)*100</f>
        <v>63.111591294952937</v>
      </c>
      <c r="V44" s="19" t="s">
        <v>6</v>
      </c>
      <c r="W44" s="19" t="s">
        <v>6</v>
      </c>
      <c r="X44" s="19" t="s">
        <v>6</v>
      </c>
      <c r="Y44" s="19" t="s">
        <v>6</v>
      </c>
      <c r="Z44" s="19" t="s">
        <v>6</v>
      </c>
      <c r="AA44" s="19" t="s">
        <v>6</v>
      </c>
      <c r="AB44" s="146">
        <v>3</v>
      </c>
      <c r="AC44" s="13"/>
      <c r="AD44" s="161">
        <f t="shared" si="1"/>
        <v>2.2522522522522521E-2</v>
      </c>
      <c r="AE44" s="162">
        <f>Master_Data[[#This Row],[Imp. Level]]/SUMIF(Master_Data[Subject],Master_Data[[#This Row],[Subject]],Master_Data[Imp. Level])</f>
        <v>6.25E-2</v>
      </c>
      <c r="AF44" s="144">
        <f>Master_Data[[#This Row],[Subjectwise weights]]*Master_Data[[#This Row],[Confidence Level]]</f>
        <v>0.1875</v>
      </c>
      <c r="AG44" s="145" t="str">
        <f>IF(AND(Master_Data[[#This Row],[Prac. Book]]="D",Master_Data[[#This Row],[GARP EOC Ques.]]="D"),"D","U")</f>
        <v>U</v>
      </c>
      <c r="AH44" s="255" t="str">
        <f>Master_Data[[#This Row],[GARP 10 Yr Papers]]</f>
        <v>U</v>
      </c>
    </row>
    <row r="45" spans="2:34" ht="27" customHeight="1">
      <c r="B45" s="3">
        <v>37</v>
      </c>
      <c r="C45" s="166" t="str">
        <f ca="1">IF(Master_Data[[#This Row],[Column1]]="Done","",IF(Master_Data[[#This Row],[Column1]]=MIN(Master_Data[Column1]),"Current Week",CONCATENATE("Week ",Master_Data[[#This Row],[Column1]])))</f>
        <v>Week 30</v>
      </c>
      <c r="D45" s="3">
        <f ca="1">IF(Master_Data[[#This Row],[Cum. Undone hrs]]=0,"Done",ROUNDUP(Master_Data[[#This Row],[Cum. Undone hrs]]/Working!$C$8,0))</f>
        <v>30</v>
      </c>
      <c r="E45" s="3">
        <f ca="1">IF(OR(D45=D44,D45=D44+1),Master_Data[[#This Row],[Column1]],D45-1)</f>
        <v>30</v>
      </c>
      <c r="F45" s="11">
        <f>SUM($G$9:G45)</f>
        <v>5.8111111111111109</v>
      </c>
      <c r="G45" s="256">
        <f>IF(Master_Data[[#This Row],[Lectures]]="D","",Master_Data[[#This Row],[Duration (hh:mm)]])</f>
        <v>0.13194444444444445</v>
      </c>
      <c r="H45" s="2" t="s">
        <v>185</v>
      </c>
      <c r="I45" s="2">
        <v>56</v>
      </c>
      <c r="J45" s="2" t="s">
        <v>95</v>
      </c>
      <c r="K45" s="36" t="s">
        <v>231</v>
      </c>
      <c r="L45" s="257">
        <v>1</v>
      </c>
      <c r="M45" s="12">
        <v>8</v>
      </c>
      <c r="N45" s="35">
        <v>4</v>
      </c>
      <c r="O45" s="35">
        <v>4</v>
      </c>
      <c r="P45" s="35">
        <v>4</v>
      </c>
      <c r="Q45" s="35">
        <v>4</v>
      </c>
      <c r="R45" s="35">
        <v>5</v>
      </c>
      <c r="S45" s="35">
        <v>4</v>
      </c>
      <c r="T45" s="254">
        <v>0.13194444444444445</v>
      </c>
      <c r="U45" s="34">
        <f>(SUM($T$9:T45)/$T$4)*100</f>
        <v>64.577866954776979</v>
      </c>
      <c r="V45" s="19" t="s">
        <v>6</v>
      </c>
      <c r="W45" s="19" t="s">
        <v>6</v>
      </c>
      <c r="X45" s="19" t="s">
        <v>6</v>
      </c>
      <c r="Y45" s="19" t="s">
        <v>6</v>
      </c>
      <c r="Z45" s="19" t="s">
        <v>6</v>
      </c>
      <c r="AA45" s="19" t="s">
        <v>6</v>
      </c>
      <c r="AB45" s="146">
        <v>2</v>
      </c>
      <c r="AC45" s="13"/>
      <c r="AD45" s="161">
        <f t="shared" si="1"/>
        <v>2.2522522522522521E-2</v>
      </c>
      <c r="AE45" s="162">
        <f>Master_Data[[#This Row],[Imp. Level]]/SUMIF(Master_Data[Subject],Master_Data[[#This Row],[Subject]],Master_Data[Imp. Level])</f>
        <v>7.8125E-2</v>
      </c>
      <c r="AF45" s="144">
        <f>Master_Data[[#This Row],[Subjectwise weights]]*Master_Data[[#This Row],[Confidence Level]]</f>
        <v>0.15625</v>
      </c>
      <c r="AG45" s="145" t="str">
        <f>IF(AND(Master_Data[[#This Row],[Prac. Book]]="D",Master_Data[[#This Row],[GARP EOC Ques.]]="D"),"D","U")</f>
        <v>U</v>
      </c>
      <c r="AH45" s="255" t="str">
        <f>Master_Data[[#This Row],[GARP 10 Yr Papers]]</f>
        <v>U</v>
      </c>
    </row>
    <row r="46" spans="2:34" ht="27" customHeight="1">
      <c r="B46" s="3">
        <v>38</v>
      </c>
      <c r="C46" s="166" t="str">
        <f ca="1">IF(Master_Data[[#This Row],[Column1]]="Done","",IF(Master_Data[[#This Row],[Column1]]=MIN(Master_Data[Column1]),"Current Week",CONCATENATE("Week ",Master_Data[[#This Row],[Column1]])))</f>
        <v>Week 33</v>
      </c>
      <c r="D46" s="3">
        <f ca="1">IF(Master_Data[[#This Row],[Cum. Undone hrs]]=0,"Done",ROUNDUP(Master_Data[[#This Row],[Cum. Undone hrs]]/Working!$C$8,0))</f>
        <v>33</v>
      </c>
      <c r="E46" s="3">
        <f ca="1">IF(OR(D46=D45,D46=D45+1),Master_Data[[#This Row],[Column1]],D46-1)</f>
        <v>32</v>
      </c>
      <c r="F46" s="11">
        <f>SUM($G$9:G46)</f>
        <v>6.2895833333333329</v>
      </c>
      <c r="G46" s="256">
        <f>IF(Master_Data[[#This Row],[Lectures]]="D","",Master_Data[[#This Row],[Duration (hh:mm)]])</f>
        <v>0.47847222222222224</v>
      </c>
      <c r="H46" s="2" t="s">
        <v>185</v>
      </c>
      <c r="I46" s="2" t="s">
        <v>221</v>
      </c>
      <c r="J46" s="2" t="s">
        <v>95</v>
      </c>
      <c r="K46" s="36" t="s">
        <v>226</v>
      </c>
      <c r="L46" s="257">
        <v>3</v>
      </c>
      <c r="M46" s="12">
        <v>24</v>
      </c>
      <c r="N46" s="35">
        <v>4</v>
      </c>
      <c r="O46" s="35">
        <v>4</v>
      </c>
      <c r="P46" s="35">
        <v>4</v>
      </c>
      <c r="Q46" s="35">
        <v>4</v>
      </c>
      <c r="R46" s="35">
        <v>5</v>
      </c>
      <c r="S46" s="35">
        <v>4</v>
      </c>
      <c r="T46" s="254">
        <v>0.47847222222222224</v>
      </c>
      <c r="U46" s="34">
        <f>(SUM($T$9:T46)/$T$4)*100</f>
        <v>69.895045531717869</v>
      </c>
      <c r="V46" s="19" t="s">
        <v>6</v>
      </c>
      <c r="W46" s="19" t="s">
        <v>6</v>
      </c>
      <c r="X46" s="19" t="s">
        <v>6</v>
      </c>
      <c r="Y46" s="19" t="s">
        <v>6</v>
      </c>
      <c r="Z46" s="19" t="s">
        <v>6</v>
      </c>
      <c r="AA46" s="19" t="s">
        <v>6</v>
      </c>
      <c r="AB46" s="146">
        <v>2</v>
      </c>
      <c r="AC46" s="13"/>
      <c r="AD46" s="161">
        <f t="shared" si="1"/>
        <v>2.2522522522522521E-2</v>
      </c>
      <c r="AE46" s="162">
        <f>Master_Data[[#This Row],[Imp. Level]]/SUMIF(Master_Data[Subject],Master_Data[[#This Row],[Subject]],Master_Data[Imp. Level])</f>
        <v>7.8125E-2</v>
      </c>
      <c r="AF46" s="144">
        <f>Master_Data[[#This Row],[Subjectwise weights]]*Master_Data[[#This Row],[Confidence Level]]</f>
        <v>0.15625</v>
      </c>
      <c r="AG46" s="145" t="str">
        <f>IF(AND(Master_Data[[#This Row],[Prac. Book]]="D",Master_Data[[#This Row],[GARP EOC Ques.]]="D"),"D","U")</f>
        <v>U</v>
      </c>
      <c r="AH46" s="255" t="str">
        <f>Master_Data[[#This Row],[GARP 10 Yr Papers]]</f>
        <v>U</v>
      </c>
    </row>
    <row r="47" spans="2:34" ht="27" customHeight="1">
      <c r="B47" s="3">
        <v>39</v>
      </c>
      <c r="C47" s="166" t="str">
        <f ca="1">IF(Master_Data[[#This Row],[Column1]]="Done","",IF(Master_Data[[#This Row],[Column1]]=MIN(Master_Data[Column1]),"Current Week",CONCATENATE("Week ",Master_Data[[#This Row],[Column1]])))</f>
        <v>Week 35</v>
      </c>
      <c r="D47" s="3">
        <f ca="1">IF(Master_Data[[#This Row],[Cum. Undone hrs]]=0,"Done",ROUNDUP(Master_Data[[#This Row],[Cum. Undone hrs]]/Working!$C$8,0))</f>
        <v>35</v>
      </c>
      <c r="E47" s="3">
        <f ca="1">IF(OR(D47=D46,D47=D46+1),Master_Data[[#This Row],[Column1]],D47-1)</f>
        <v>34</v>
      </c>
      <c r="F47" s="11">
        <f>SUM($G$9:G47)</f>
        <v>6.6812499999999995</v>
      </c>
      <c r="G47" s="256">
        <f>IF(Master_Data[[#This Row],[Lectures]]="D","",Master_Data[[#This Row],[Duration (hh:mm)]])</f>
        <v>0.39166666666666666</v>
      </c>
      <c r="H47" s="2" t="s">
        <v>185</v>
      </c>
      <c r="I47" s="2">
        <v>58</v>
      </c>
      <c r="J47" s="2" t="s">
        <v>95</v>
      </c>
      <c r="K47" s="36" t="s">
        <v>214</v>
      </c>
      <c r="L47" s="257">
        <v>1</v>
      </c>
      <c r="M47" s="12">
        <v>9</v>
      </c>
      <c r="N47" s="35">
        <v>5</v>
      </c>
      <c r="O47" s="35">
        <v>4</v>
      </c>
      <c r="P47" s="35">
        <v>5</v>
      </c>
      <c r="Q47" s="35">
        <v>5</v>
      </c>
      <c r="R47" s="35">
        <v>5</v>
      </c>
      <c r="S47" s="35">
        <v>4</v>
      </c>
      <c r="T47" s="254">
        <v>0.39166666666666666</v>
      </c>
      <c r="U47" s="34">
        <f>(SUM($T$9:T47)/$T$4)*100</f>
        <v>74.247569069300837</v>
      </c>
      <c r="V47" s="19" t="s">
        <v>6</v>
      </c>
      <c r="W47" s="19" t="s">
        <v>6</v>
      </c>
      <c r="X47" s="19" t="s">
        <v>6</v>
      </c>
      <c r="Y47" s="19" t="s">
        <v>6</v>
      </c>
      <c r="Z47" s="19" t="s">
        <v>6</v>
      </c>
      <c r="AA47" s="19" t="s">
        <v>6</v>
      </c>
      <c r="AB47" s="146">
        <v>2</v>
      </c>
      <c r="AC47" s="13"/>
      <c r="AD47" s="161">
        <f t="shared" si="1"/>
        <v>2.2522522522522521E-2</v>
      </c>
      <c r="AE47" s="162">
        <f>Master_Data[[#This Row],[Imp. Level]]/SUMIF(Master_Data[Subject],Master_Data[[#This Row],[Subject]],Master_Data[Imp. Level])</f>
        <v>7.8125E-2</v>
      </c>
      <c r="AF47" s="144">
        <f>Master_Data[[#This Row],[Subjectwise weights]]*Master_Data[[#This Row],[Confidence Level]]</f>
        <v>0.15625</v>
      </c>
      <c r="AG47" s="145" t="str">
        <f>IF(AND(Master_Data[[#This Row],[Prac. Book]]="D",Master_Data[[#This Row],[GARP EOC Ques.]]="D"),"D","U")</f>
        <v>U</v>
      </c>
      <c r="AH47" s="255" t="str">
        <f>Master_Data[[#This Row],[GARP 10 Yr Papers]]</f>
        <v>U</v>
      </c>
    </row>
    <row r="48" spans="2:34" ht="27" customHeight="1">
      <c r="B48" s="3">
        <v>40</v>
      </c>
      <c r="C48" s="166" t="str">
        <f ca="1">IF(Master_Data[[#This Row],[Column1]]="Done","",IF(Master_Data[[#This Row],[Column1]]=MIN(Master_Data[Column1]),"Current Week",CONCATENATE("Week ",Master_Data[[#This Row],[Column1]])))</f>
        <v>Week 35</v>
      </c>
      <c r="D48" s="3">
        <f ca="1">IF(Master_Data[[#This Row],[Cum. Undone hrs]]=0,"Done",ROUNDUP(Master_Data[[#This Row],[Cum. Undone hrs]]/Working!$C$8,0))</f>
        <v>35</v>
      </c>
      <c r="E48" s="3">
        <f ca="1">IF(OR(D48=D47,D48=D47+1),Master_Data[[#This Row],[Column1]],D48-1)</f>
        <v>35</v>
      </c>
      <c r="F48" s="11">
        <f>SUM($G$9:G48)</f>
        <v>6.7569444444444438</v>
      </c>
      <c r="G48" s="256">
        <f>IF(Master_Data[[#This Row],[Lectures]]="D","",Master_Data[[#This Row],[Duration (hh:mm)]])</f>
        <v>7.5694444444444439E-2</v>
      </c>
      <c r="H48" s="2" t="s">
        <v>185</v>
      </c>
      <c r="I48" s="2">
        <v>59</v>
      </c>
      <c r="J48" s="2" t="s">
        <v>95</v>
      </c>
      <c r="K48" s="36" t="s">
        <v>232</v>
      </c>
      <c r="L48" s="257">
        <v>1</v>
      </c>
      <c r="M48" s="12">
        <v>7</v>
      </c>
      <c r="N48" s="35">
        <v>3</v>
      </c>
      <c r="O48" s="35">
        <v>2</v>
      </c>
      <c r="P48" s="35">
        <v>5</v>
      </c>
      <c r="Q48" s="35">
        <v>5</v>
      </c>
      <c r="R48" s="35">
        <v>3</v>
      </c>
      <c r="S48" s="35">
        <v>4</v>
      </c>
      <c r="T48" s="254">
        <v>7.5694444444444439E-2</v>
      </c>
      <c r="U48" s="34">
        <f>(SUM($T$9:T48)/$T$4)*100</f>
        <v>75.088748263620943</v>
      </c>
      <c r="V48" s="19" t="s">
        <v>6</v>
      </c>
      <c r="W48" s="19" t="s">
        <v>6</v>
      </c>
      <c r="X48" s="19" t="s">
        <v>6</v>
      </c>
      <c r="Y48" s="19" t="s">
        <v>6</v>
      </c>
      <c r="Z48" s="19" t="s">
        <v>6</v>
      </c>
      <c r="AA48" s="19" t="s">
        <v>6</v>
      </c>
      <c r="AB48" s="146">
        <v>2</v>
      </c>
      <c r="AC48" s="13"/>
      <c r="AD48" s="161">
        <f t="shared" si="1"/>
        <v>1.3513513513513514E-2</v>
      </c>
      <c r="AE48" s="162">
        <f>Master_Data[[#This Row],[Imp. Level]]/SUMIF(Master_Data[Subject],Master_Data[[#This Row],[Subject]],Master_Data[Imp. Level])</f>
        <v>4.6875E-2</v>
      </c>
      <c r="AF48" s="144">
        <f>Master_Data[[#This Row],[Subjectwise weights]]*Master_Data[[#This Row],[Confidence Level]]</f>
        <v>9.375E-2</v>
      </c>
      <c r="AG48" s="145" t="str">
        <f>IF(AND(Master_Data[[#This Row],[Prac. Book]]="D",Master_Data[[#This Row],[GARP EOC Ques.]]="D"),"D","U")</f>
        <v>U</v>
      </c>
      <c r="AH48" s="255" t="str">
        <f>Master_Data[[#This Row],[GARP 10 Yr Papers]]</f>
        <v>U</v>
      </c>
    </row>
    <row r="49" spans="2:34" ht="27" customHeight="1">
      <c r="B49" s="3">
        <v>41</v>
      </c>
      <c r="C49" s="166" t="str">
        <f ca="1">IF(Master_Data[[#This Row],[Column1]]="Done","",IF(Master_Data[[#This Row],[Column1]]=MIN(Master_Data[Column1]),"Current Week",CONCATENATE("Week ",Master_Data[[#This Row],[Column1]])))</f>
        <v>Week 36</v>
      </c>
      <c r="D49" s="3">
        <f ca="1">IF(Master_Data[[#This Row],[Cum. Undone hrs]]=0,"Done",ROUNDUP(Master_Data[[#This Row],[Cum. Undone hrs]]/Working!$C$8,0))</f>
        <v>36</v>
      </c>
      <c r="E49" s="3">
        <f ca="1">IF(OR(D49=D48,D49=D48+1),Master_Data[[#This Row],[Column1]],D49-1)</f>
        <v>36</v>
      </c>
      <c r="F49" s="11">
        <f>SUM($G$9:G49)</f>
        <v>6.8812499999999996</v>
      </c>
      <c r="G49" s="256">
        <f>IF(Master_Data[[#This Row],[Lectures]]="D","",Master_Data[[#This Row],[Duration (hh:mm)]])</f>
        <v>0.12430555555555556</v>
      </c>
      <c r="H49" s="2" t="s">
        <v>169</v>
      </c>
      <c r="I49" s="2">
        <v>43</v>
      </c>
      <c r="J49" s="2" t="s">
        <v>95</v>
      </c>
      <c r="K49" s="36" t="s">
        <v>191</v>
      </c>
      <c r="L49" s="257">
        <v>1</v>
      </c>
      <c r="M49" s="12">
        <v>9</v>
      </c>
      <c r="N49" s="35">
        <v>3</v>
      </c>
      <c r="O49" s="35">
        <v>2</v>
      </c>
      <c r="P49" s="35">
        <v>3</v>
      </c>
      <c r="Q49" s="35">
        <v>3</v>
      </c>
      <c r="R49" s="35">
        <v>3</v>
      </c>
      <c r="S49" s="35">
        <v>4</v>
      </c>
      <c r="T49" s="254">
        <v>0.12430555555555556</v>
      </c>
      <c r="U49" s="34">
        <f>(SUM($T$9:T49)/$T$4)*100</f>
        <v>76.470134279981494</v>
      </c>
      <c r="V49" s="19" t="s">
        <v>6</v>
      </c>
      <c r="W49" s="19" t="s">
        <v>6</v>
      </c>
      <c r="X49" s="19" t="s">
        <v>6</v>
      </c>
      <c r="Y49" s="19" t="s">
        <v>6</v>
      </c>
      <c r="Z49" s="19" t="s">
        <v>6</v>
      </c>
      <c r="AA49" s="19" t="s">
        <v>6</v>
      </c>
      <c r="AB49" s="146">
        <v>2</v>
      </c>
      <c r="AC49" s="13"/>
      <c r="AD49" s="161">
        <f t="shared" si="1"/>
        <v>1.3513513513513514E-2</v>
      </c>
      <c r="AE49" s="162">
        <f>Master_Data[[#This Row],[Imp. Level]]/SUMIF(Master_Data[Subject],Master_Data[[#This Row],[Subject]],Master_Data[Imp. Level])</f>
        <v>3.7499999999999999E-2</v>
      </c>
      <c r="AF49" s="144">
        <f>Master_Data[[#This Row],[Subjectwise weights]]*Master_Data[[#This Row],[Confidence Level]]</f>
        <v>7.4999999999999997E-2</v>
      </c>
      <c r="AG49" s="145" t="str">
        <f>IF(AND(Master_Data[[#This Row],[Prac. Book]]="D",Master_Data[[#This Row],[GARP EOC Ques.]]="D"),"D","U")</f>
        <v>U</v>
      </c>
      <c r="AH49" s="255" t="str">
        <f>Master_Data[[#This Row],[GARP 10 Yr Papers]]</f>
        <v>U</v>
      </c>
    </row>
    <row r="50" spans="2:34" ht="27" customHeight="1">
      <c r="B50" s="3">
        <v>42</v>
      </c>
      <c r="C50" s="166" t="str">
        <f ca="1">IF(Master_Data[[#This Row],[Column1]]="Done","",IF(Master_Data[[#This Row],[Column1]]=MIN(Master_Data[Column1]),"Current Week",CONCATENATE("Week ",Master_Data[[#This Row],[Column1]])))</f>
        <v>Week 37</v>
      </c>
      <c r="D50" s="3">
        <f ca="1">IF(Master_Data[[#This Row],[Cum. Undone hrs]]=0,"Done",ROUNDUP(Master_Data[[#This Row],[Cum. Undone hrs]]/Working!$C$8,0))</f>
        <v>37</v>
      </c>
      <c r="E50" s="3">
        <f ca="1">IF(OR(D50=D49,D50=D49+1),Master_Data[[#This Row],[Column1]],D50-1)</f>
        <v>37</v>
      </c>
      <c r="F50" s="11">
        <f>SUM($G$9:G50)</f>
        <v>7.0881944444444445</v>
      </c>
      <c r="G50" s="256">
        <f>IF(Master_Data[[#This Row],[Lectures]]="D","",Master_Data[[#This Row],[Duration (hh:mm)]])</f>
        <v>0.20694444444444443</v>
      </c>
      <c r="H50" s="2" t="s">
        <v>169</v>
      </c>
      <c r="I50" s="2">
        <v>44</v>
      </c>
      <c r="J50" s="2" t="s">
        <v>95</v>
      </c>
      <c r="K50" s="36" t="s">
        <v>213</v>
      </c>
      <c r="L50" s="257">
        <v>1</v>
      </c>
      <c r="M50" s="12">
        <v>10</v>
      </c>
      <c r="N50" s="35">
        <v>4</v>
      </c>
      <c r="O50" s="35">
        <v>3</v>
      </c>
      <c r="P50" s="35">
        <v>5</v>
      </c>
      <c r="Q50" s="35">
        <v>5</v>
      </c>
      <c r="R50" s="35">
        <v>4</v>
      </c>
      <c r="S50" s="35">
        <v>4</v>
      </c>
      <c r="T50" s="254">
        <v>0.20694444444444443</v>
      </c>
      <c r="U50" s="34">
        <f>(SUM($T$9:T50)/$T$4)*100</f>
        <v>78.769871893810802</v>
      </c>
      <c r="V50" s="19" t="s">
        <v>6</v>
      </c>
      <c r="W50" s="19" t="s">
        <v>6</v>
      </c>
      <c r="X50" s="19" t="s">
        <v>6</v>
      </c>
      <c r="Y50" s="19" t="s">
        <v>6</v>
      </c>
      <c r="Z50" s="19" t="s">
        <v>6</v>
      </c>
      <c r="AA50" s="19" t="s">
        <v>6</v>
      </c>
      <c r="AB50" s="146">
        <v>3</v>
      </c>
      <c r="AC50" s="13"/>
      <c r="AD50" s="161">
        <f t="shared" si="1"/>
        <v>1.8018018018018018E-2</v>
      </c>
      <c r="AE50" s="162">
        <f>Master_Data[[#This Row],[Imp. Level]]/SUMIF(Master_Data[Subject],Master_Data[[#This Row],[Subject]],Master_Data[Imp. Level])</f>
        <v>0.05</v>
      </c>
      <c r="AF50" s="144">
        <f>Master_Data[[#This Row],[Subjectwise weights]]*Master_Data[[#This Row],[Confidence Level]]</f>
        <v>0.15000000000000002</v>
      </c>
      <c r="AG50" s="145" t="str">
        <f>IF(AND(Master_Data[[#This Row],[Prac. Book]]="D",Master_Data[[#This Row],[GARP EOC Ques.]]="D"),"D","U")</f>
        <v>U</v>
      </c>
      <c r="AH50" s="255" t="str">
        <f>Master_Data[[#This Row],[GARP 10 Yr Papers]]</f>
        <v>U</v>
      </c>
    </row>
    <row r="51" spans="2:34" ht="27" customHeight="1">
      <c r="B51" s="3">
        <v>43</v>
      </c>
      <c r="C51" s="166" t="str">
        <f ca="1">IF(Master_Data[[#This Row],[Column1]]="Done","",IF(Master_Data[[#This Row],[Column1]]=MIN(Master_Data[Column1]),"Current Week",CONCATENATE("Week ",Master_Data[[#This Row],[Column1]])))</f>
        <v>Week 37</v>
      </c>
      <c r="D51" s="3">
        <f ca="1">IF(Master_Data[[#This Row],[Cum. Undone hrs]]=0,"Done",ROUNDUP(Master_Data[[#This Row],[Cum. Undone hrs]]/Working!$C$8,0))</f>
        <v>37</v>
      </c>
      <c r="E51" s="3">
        <f ca="1">IF(OR(D51=D50,D51=D50+1),Master_Data[[#This Row],[Column1]],D51-1)</f>
        <v>37</v>
      </c>
      <c r="F51" s="11">
        <f>SUM($G$9:G51)</f>
        <v>7.2298611111111111</v>
      </c>
      <c r="G51" s="256">
        <f>IF(Master_Data[[#This Row],[Lectures]]="D","",Master_Data[[#This Row],[Duration (hh:mm)]])</f>
        <v>0.14166666666666666</v>
      </c>
      <c r="H51" s="2" t="s">
        <v>169</v>
      </c>
      <c r="I51" s="2">
        <v>45</v>
      </c>
      <c r="J51" s="2" t="s">
        <v>94</v>
      </c>
      <c r="K51" s="36" t="s">
        <v>192</v>
      </c>
      <c r="L51" s="257">
        <v>1</v>
      </c>
      <c r="M51" s="12">
        <v>11</v>
      </c>
      <c r="N51" s="35">
        <v>4</v>
      </c>
      <c r="O51" s="35">
        <v>4</v>
      </c>
      <c r="P51" s="35">
        <v>4</v>
      </c>
      <c r="Q51" s="35">
        <v>5</v>
      </c>
      <c r="R51" s="35">
        <v>5</v>
      </c>
      <c r="S51" s="35">
        <v>5</v>
      </c>
      <c r="T51" s="254">
        <v>0.14166666666666666</v>
      </c>
      <c r="U51" s="34">
        <f>(SUM($T$9:T51)/$T$4)*100</f>
        <v>80.344188918042931</v>
      </c>
      <c r="V51" s="19" t="s">
        <v>6</v>
      </c>
      <c r="W51" s="19" t="s">
        <v>6</v>
      </c>
      <c r="X51" s="19" t="s">
        <v>6</v>
      </c>
      <c r="Y51" s="19" t="s">
        <v>6</v>
      </c>
      <c r="Z51" s="19" t="s">
        <v>6</v>
      </c>
      <c r="AA51" s="19" t="s">
        <v>6</v>
      </c>
      <c r="AB51" s="146">
        <v>2</v>
      </c>
      <c r="AC51" s="13"/>
      <c r="AD51" s="161">
        <f t="shared" si="1"/>
        <v>2.2522522522522521E-2</v>
      </c>
      <c r="AE51" s="162">
        <f>Master_Data[[#This Row],[Imp. Level]]/SUMIF(Master_Data[Subject],Master_Data[[#This Row],[Subject]],Master_Data[Imp. Level])</f>
        <v>6.25E-2</v>
      </c>
      <c r="AF51" s="144">
        <f>Master_Data[[#This Row],[Subjectwise weights]]*Master_Data[[#This Row],[Confidence Level]]</f>
        <v>0.125</v>
      </c>
      <c r="AG51" s="145" t="str">
        <f>IF(AND(Master_Data[[#This Row],[Prac. Book]]="D",Master_Data[[#This Row],[GARP EOC Ques.]]="D"),"D","U")</f>
        <v>U</v>
      </c>
      <c r="AH51" s="255" t="str">
        <f>Master_Data[[#This Row],[GARP 10 Yr Papers]]</f>
        <v>U</v>
      </c>
    </row>
    <row r="52" spans="2:34" ht="27" customHeight="1">
      <c r="B52" s="3">
        <v>44</v>
      </c>
      <c r="C52" s="166" t="str">
        <f ca="1">IF(Master_Data[[#This Row],[Column1]]="Done","",IF(Master_Data[[#This Row],[Column1]]=MIN(Master_Data[Column1]),"Current Week",CONCATENATE("Week ",Master_Data[[#This Row],[Column1]])))</f>
        <v>Week 38</v>
      </c>
      <c r="D52" s="3">
        <f ca="1">IF(Master_Data[[#This Row],[Cum. Undone hrs]]=0,"Done",ROUNDUP(Master_Data[[#This Row],[Cum. Undone hrs]]/Working!$C$8,0))</f>
        <v>38</v>
      </c>
      <c r="E52" s="3">
        <f ca="1">IF(OR(D52=D51,D52=D51+1),Master_Data[[#This Row],[Column1]],D52-1)</f>
        <v>38</v>
      </c>
      <c r="F52" s="11">
        <f>SUM($G$9:G52)</f>
        <v>7.3930555555555557</v>
      </c>
      <c r="G52" s="256">
        <f>IF(Master_Data[[#This Row],[Lectures]]="D","",Master_Data[[#This Row],[Duration (hh:mm)]])</f>
        <v>0.16319444444444445</v>
      </c>
      <c r="H52" s="2" t="s">
        <v>169</v>
      </c>
      <c r="I52" s="2">
        <v>46</v>
      </c>
      <c r="J52" s="2" t="s">
        <v>95</v>
      </c>
      <c r="K52" s="36" t="s">
        <v>193</v>
      </c>
      <c r="L52" s="257">
        <v>1</v>
      </c>
      <c r="M52" s="12">
        <v>13</v>
      </c>
      <c r="N52" s="35">
        <v>4</v>
      </c>
      <c r="O52" s="35">
        <v>5</v>
      </c>
      <c r="P52" s="35">
        <v>5</v>
      </c>
      <c r="Q52" s="35">
        <v>5</v>
      </c>
      <c r="R52" s="35">
        <v>4</v>
      </c>
      <c r="S52" s="35">
        <v>5</v>
      </c>
      <c r="T52" s="254">
        <v>0.16319444444444445</v>
      </c>
      <c r="U52" s="34">
        <f>(SUM($T$9:T52)/$T$4)*100</f>
        <v>82.157740392035834</v>
      </c>
      <c r="V52" s="19" t="s">
        <v>6</v>
      </c>
      <c r="W52" s="19" t="s">
        <v>6</v>
      </c>
      <c r="X52" s="19" t="s">
        <v>6</v>
      </c>
      <c r="Y52" s="19" t="s">
        <v>6</v>
      </c>
      <c r="Z52" s="19" t="s">
        <v>6</v>
      </c>
      <c r="AA52" s="19" t="s">
        <v>6</v>
      </c>
      <c r="AB52" s="146">
        <v>2</v>
      </c>
      <c r="AC52" s="13"/>
      <c r="AD52" s="161">
        <f t="shared" si="1"/>
        <v>1.8018018018018018E-2</v>
      </c>
      <c r="AE52" s="162">
        <f>Master_Data[[#This Row],[Imp. Level]]/SUMIF(Master_Data[Subject],Master_Data[[#This Row],[Subject]],Master_Data[Imp. Level])</f>
        <v>0.05</v>
      </c>
      <c r="AF52" s="144">
        <f>Master_Data[[#This Row],[Subjectwise weights]]*Master_Data[[#This Row],[Confidence Level]]</f>
        <v>0.1</v>
      </c>
      <c r="AG52" s="145" t="str">
        <f>IF(AND(Master_Data[[#This Row],[Prac. Book]]="D",Master_Data[[#This Row],[GARP EOC Ques.]]="D"),"D","U")</f>
        <v>U</v>
      </c>
      <c r="AH52" s="255" t="str">
        <f>Master_Data[[#This Row],[GARP 10 Yr Papers]]</f>
        <v>U</v>
      </c>
    </row>
    <row r="53" spans="2:34" ht="27" customHeight="1">
      <c r="B53" s="3">
        <v>45</v>
      </c>
      <c r="C53" s="166" t="str">
        <f ca="1">IF(Master_Data[[#This Row],[Column1]]="Done","",IF(Master_Data[[#This Row],[Column1]]=MIN(Master_Data[Column1]),"Current Week",CONCATENATE("Week ",Master_Data[[#This Row],[Column1]])))</f>
        <v>Week 39</v>
      </c>
      <c r="D53" s="3">
        <f ca="1">IF(Master_Data[[#This Row],[Cum. Undone hrs]]=0,"Done",ROUNDUP(Master_Data[[#This Row],[Cum. Undone hrs]]/Working!$C$8,0))</f>
        <v>39</v>
      </c>
      <c r="E53" s="3">
        <f ca="1">IF(OR(D53=D52,D53=D52+1),Master_Data[[#This Row],[Column1]],D53-1)</f>
        <v>39</v>
      </c>
      <c r="F53" s="11">
        <f>SUM($G$9:G53)</f>
        <v>7.5187499999999998</v>
      </c>
      <c r="G53" s="256">
        <f>IF(Master_Data[[#This Row],[Lectures]]="D","",Master_Data[[#This Row],[Duration (hh:mm)]])</f>
        <v>0.12569444444444444</v>
      </c>
      <c r="H53" s="2" t="s">
        <v>185</v>
      </c>
      <c r="I53" s="2">
        <v>51</v>
      </c>
      <c r="J53" s="2" t="s">
        <v>95</v>
      </c>
      <c r="K53" s="36" t="s">
        <v>227</v>
      </c>
      <c r="L53" s="257">
        <v>1</v>
      </c>
      <c r="M53" s="12">
        <v>6</v>
      </c>
      <c r="N53" s="35">
        <v>2</v>
      </c>
      <c r="O53" s="35">
        <v>1</v>
      </c>
      <c r="P53" s="35">
        <v>2</v>
      </c>
      <c r="Q53" s="35">
        <v>2</v>
      </c>
      <c r="R53" s="35">
        <v>2</v>
      </c>
      <c r="S53" s="35">
        <v>3</v>
      </c>
      <c r="T53" s="254">
        <v>0.12569444444444444</v>
      </c>
      <c r="U53" s="34">
        <f>(SUM($T$9:T53)/$T$4)*100</f>
        <v>83.554560889026106</v>
      </c>
      <c r="V53" s="19" t="s">
        <v>6</v>
      </c>
      <c r="W53" s="19" t="s">
        <v>6</v>
      </c>
      <c r="X53" s="19" t="s">
        <v>6</v>
      </c>
      <c r="Y53" s="19" t="s">
        <v>6</v>
      </c>
      <c r="Z53" s="19" t="s">
        <v>6</v>
      </c>
      <c r="AA53" s="19" t="s">
        <v>6</v>
      </c>
      <c r="AB53" s="146">
        <v>2</v>
      </c>
      <c r="AC53" s="13"/>
      <c r="AD53" s="161">
        <f t="shared" si="1"/>
        <v>9.0090090090090089E-3</v>
      </c>
      <c r="AE53" s="162">
        <f>Master_Data[[#This Row],[Imp. Level]]/SUMIF(Master_Data[Subject],Master_Data[[#This Row],[Subject]],Master_Data[Imp. Level])</f>
        <v>3.125E-2</v>
      </c>
      <c r="AF53" s="144">
        <f>Master_Data[[#This Row],[Subjectwise weights]]*Master_Data[[#This Row],[Confidence Level]]</f>
        <v>6.25E-2</v>
      </c>
      <c r="AG53" s="145" t="str">
        <f>IF(AND(Master_Data[[#This Row],[Prac. Book]]="D",Master_Data[[#This Row],[GARP EOC Ques.]]="D"),"D","U")</f>
        <v>U</v>
      </c>
      <c r="AH53" s="255" t="str">
        <f>Master_Data[[#This Row],[GARP 10 Yr Papers]]</f>
        <v>U</v>
      </c>
    </row>
    <row r="54" spans="2:34" ht="27" customHeight="1">
      <c r="B54" s="3">
        <v>46</v>
      </c>
      <c r="C54" s="166" t="str">
        <f ca="1">IF(Master_Data[[#This Row],[Column1]]="Done","",IF(Master_Data[[#This Row],[Column1]]=MIN(Master_Data[Column1]),"Current Week",CONCATENATE("Week ",Master_Data[[#This Row],[Column1]])))</f>
        <v>Week 40</v>
      </c>
      <c r="D54" s="3">
        <f ca="1">IF(Master_Data[[#This Row],[Cum. Undone hrs]]=0,"Done",ROUNDUP(Master_Data[[#This Row],[Cum. Undone hrs]]/Working!$C$8,0))</f>
        <v>40</v>
      </c>
      <c r="E54" s="3">
        <f ca="1">IF(OR(D54=D53,D54=D53+1),Master_Data[[#This Row],[Column1]],D54-1)</f>
        <v>40</v>
      </c>
      <c r="F54" s="11">
        <f>SUM($G$9:G54)</f>
        <v>7.7381944444444439</v>
      </c>
      <c r="G54" s="256">
        <f>IF(Master_Data[[#This Row],[Lectures]]="D","",Master_Data[[#This Row],[Duration (hh:mm)]])</f>
        <v>0.21944444444444444</v>
      </c>
      <c r="H54" s="2" t="s">
        <v>185</v>
      </c>
      <c r="I54" s="2">
        <v>50</v>
      </c>
      <c r="J54" s="2" t="s">
        <v>95</v>
      </c>
      <c r="K54" s="36" t="s">
        <v>195</v>
      </c>
      <c r="L54" s="257">
        <v>1</v>
      </c>
      <c r="M54" s="12">
        <v>10</v>
      </c>
      <c r="N54" s="35">
        <v>4</v>
      </c>
      <c r="O54" s="35">
        <v>3</v>
      </c>
      <c r="P54" s="35">
        <v>4</v>
      </c>
      <c r="Q54" s="35">
        <v>4</v>
      </c>
      <c r="R54" s="35">
        <v>4</v>
      </c>
      <c r="S54" s="35">
        <v>4</v>
      </c>
      <c r="T54" s="254">
        <v>0.21944444444444444</v>
      </c>
      <c r="U54" s="34">
        <f>(SUM($T$9:T54)/$T$4)*100</f>
        <v>85.993208828522938</v>
      </c>
      <c r="V54" s="19" t="s">
        <v>6</v>
      </c>
      <c r="W54" s="19" t="s">
        <v>6</v>
      </c>
      <c r="X54" s="19" t="s">
        <v>6</v>
      </c>
      <c r="Y54" s="19" t="s">
        <v>6</v>
      </c>
      <c r="Z54" s="19" t="s">
        <v>6</v>
      </c>
      <c r="AA54" s="19" t="s">
        <v>6</v>
      </c>
      <c r="AB54" s="146">
        <v>3</v>
      </c>
      <c r="AC54" s="13"/>
      <c r="AD54" s="161">
        <f t="shared" si="1"/>
        <v>1.8018018018018018E-2</v>
      </c>
      <c r="AE54" s="162">
        <f>Master_Data[[#This Row],[Imp. Level]]/SUMIF(Master_Data[Subject],Master_Data[[#This Row],[Subject]],Master_Data[Imp. Level])</f>
        <v>6.25E-2</v>
      </c>
      <c r="AF54" s="144">
        <f>Master_Data[[#This Row],[Subjectwise weights]]*Master_Data[[#This Row],[Confidence Level]]</f>
        <v>0.1875</v>
      </c>
      <c r="AG54" s="145" t="str">
        <f>IF(AND(Master_Data[[#This Row],[Prac. Book]]="D",Master_Data[[#This Row],[GARP EOC Ques.]]="D"),"D","U")</f>
        <v>U</v>
      </c>
      <c r="AH54" s="255" t="str">
        <f>Master_Data[[#This Row],[GARP 10 Yr Papers]]</f>
        <v>U</v>
      </c>
    </row>
    <row r="55" spans="2:34" ht="27" customHeight="1">
      <c r="B55" s="3">
        <v>47</v>
      </c>
      <c r="C55" s="166" t="str">
        <f ca="1">IF(Master_Data[[#This Row],[Column1]]="Done","",IF(Master_Data[[#This Row],[Column1]]=MIN(Master_Data[Column1]),"Current Week",CONCATENATE("Week ",Master_Data[[#This Row],[Column1]])))</f>
        <v>Week 41</v>
      </c>
      <c r="D55" s="3">
        <f ca="1">IF(Master_Data[[#This Row],[Cum. Undone hrs]]=0,"Done",ROUNDUP(Master_Data[[#This Row],[Cum. Undone hrs]]/Working!$C$8,0))</f>
        <v>41</v>
      </c>
      <c r="E55" s="3">
        <f ca="1">IF(OR(D55=D54,D55=D54+1),Master_Data[[#This Row],[Column1]],D55-1)</f>
        <v>41</v>
      </c>
      <c r="F55" s="11">
        <f>SUM($G$9:G55)</f>
        <v>7.936805555555555</v>
      </c>
      <c r="G55" s="256">
        <f>IF(Master_Data[[#This Row],[Lectures]]="D","",Master_Data[[#This Row],[Duration (hh:mm)]])</f>
        <v>0.1986111111111111</v>
      </c>
      <c r="H55" s="2" t="s">
        <v>163</v>
      </c>
      <c r="I55" s="2">
        <v>1</v>
      </c>
      <c r="J55" s="2" t="s">
        <v>95</v>
      </c>
      <c r="K55" s="36" t="s">
        <v>196</v>
      </c>
      <c r="L55" s="257">
        <v>1</v>
      </c>
      <c r="M55" s="12">
        <v>6</v>
      </c>
      <c r="N55" s="35">
        <v>4</v>
      </c>
      <c r="O55" s="35">
        <v>2</v>
      </c>
      <c r="P55" s="35">
        <v>3</v>
      </c>
      <c r="Q55" s="35">
        <v>3</v>
      </c>
      <c r="R55" s="35">
        <v>3</v>
      </c>
      <c r="S55" s="35">
        <v>3</v>
      </c>
      <c r="T55" s="254">
        <v>0.1986111111111111</v>
      </c>
      <c r="U55" s="34">
        <f>(SUM($T$9:T55)/$T$4)*100</f>
        <v>88.200339558573887</v>
      </c>
      <c r="V55" s="19" t="s">
        <v>6</v>
      </c>
      <c r="W55" s="19" t="s">
        <v>6</v>
      </c>
      <c r="X55" s="19" t="s">
        <v>6</v>
      </c>
      <c r="Y55" s="19" t="s">
        <v>6</v>
      </c>
      <c r="Z55" s="19" t="s">
        <v>6</v>
      </c>
      <c r="AA55" s="19" t="s">
        <v>6</v>
      </c>
      <c r="AB55" s="146">
        <v>3</v>
      </c>
      <c r="AC55" s="13"/>
      <c r="AD55" s="161">
        <f t="shared" si="1"/>
        <v>1.3513513513513514E-2</v>
      </c>
      <c r="AE55" s="162">
        <f>Master_Data[[#This Row],[Imp. Level]]/SUMIF(Master_Data[Subject],Master_Data[[#This Row],[Subject]],Master_Data[Imp. Level])</f>
        <v>7.6923076923076927E-2</v>
      </c>
      <c r="AF55" s="144">
        <f>Master_Data[[#This Row],[Subjectwise weights]]*Master_Data[[#This Row],[Confidence Level]]</f>
        <v>0.23076923076923078</v>
      </c>
      <c r="AG55" s="145" t="str">
        <f>IF(AND(Master_Data[[#This Row],[Prac. Book]]="D",Master_Data[[#This Row],[GARP EOC Ques.]]="D"),"D","U")</f>
        <v>U</v>
      </c>
      <c r="AH55" s="255" t="str">
        <f>Master_Data[[#This Row],[GARP 10 Yr Papers]]</f>
        <v>U</v>
      </c>
    </row>
    <row r="56" spans="2:34" ht="27" customHeight="1">
      <c r="B56" s="3">
        <v>48</v>
      </c>
      <c r="C56" s="166" t="str">
        <f ca="1">IF(Master_Data[[#This Row],[Column1]]="Done","",IF(Master_Data[[#This Row],[Column1]]=MIN(Master_Data[Column1]),"Current Week",CONCATENATE("Week ",Master_Data[[#This Row],[Column1]])))</f>
        <v>Week 41</v>
      </c>
      <c r="D56" s="3">
        <f ca="1">IF(Master_Data[[#This Row],[Cum. Undone hrs]]=0,"Done",ROUNDUP(Master_Data[[#This Row],[Cum. Undone hrs]]/Working!$C$8,0))</f>
        <v>41</v>
      </c>
      <c r="E56" s="3">
        <f ca="1">IF(OR(D56=D55,D56=D55+1),Master_Data[[#This Row],[Column1]],D56-1)</f>
        <v>41</v>
      </c>
      <c r="F56" s="11">
        <f>SUM($G$9:G56)</f>
        <v>7.9749999999999996</v>
      </c>
      <c r="G56" s="256">
        <f>IF(Master_Data[[#This Row],[Lectures]]="D","",Master_Data[[#This Row],[Duration (hh:mm)]])</f>
        <v>3.8194444444444448E-2</v>
      </c>
      <c r="H56" s="2" t="s">
        <v>185</v>
      </c>
      <c r="I56" s="2">
        <v>47</v>
      </c>
      <c r="J56" s="2" t="s">
        <v>95</v>
      </c>
      <c r="K56" s="36" t="s">
        <v>197</v>
      </c>
      <c r="L56" s="257">
        <v>1</v>
      </c>
      <c r="M56" s="12">
        <v>6</v>
      </c>
      <c r="N56" s="35">
        <v>3</v>
      </c>
      <c r="O56" s="35">
        <v>3</v>
      </c>
      <c r="P56" s="35">
        <v>4</v>
      </c>
      <c r="Q56" s="35">
        <v>5</v>
      </c>
      <c r="R56" s="35">
        <v>4</v>
      </c>
      <c r="S56" s="35">
        <v>4</v>
      </c>
      <c r="T56" s="254">
        <v>3.8194444444444448E-2</v>
      </c>
      <c r="U56" s="34">
        <f>(SUM($T$9:T56)/$T$4)*100</f>
        <v>88.624787775891363</v>
      </c>
      <c r="V56" s="19" t="s">
        <v>6</v>
      </c>
      <c r="W56" s="19" t="s">
        <v>6</v>
      </c>
      <c r="X56" s="19" t="s">
        <v>6</v>
      </c>
      <c r="Y56" s="19" t="s">
        <v>6</v>
      </c>
      <c r="Z56" s="19" t="s">
        <v>6</v>
      </c>
      <c r="AA56" s="19" t="s">
        <v>6</v>
      </c>
      <c r="AB56" s="146">
        <v>3</v>
      </c>
      <c r="AC56" s="13"/>
      <c r="AD56" s="161">
        <f t="shared" si="1"/>
        <v>1.8018018018018018E-2</v>
      </c>
      <c r="AE56" s="162">
        <f>Master_Data[[#This Row],[Imp. Level]]/SUMIF(Master_Data[Subject],Master_Data[[#This Row],[Subject]],Master_Data[Imp. Level])</f>
        <v>6.25E-2</v>
      </c>
      <c r="AF56" s="144">
        <f>Master_Data[[#This Row],[Subjectwise weights]]*Master_Data[[#This Row],[Confidence Level]]</f>
        <v>0.1875</v>
      </c>
      <c r="AG56" s="145" t="str">
        <f>IF(AND(Master_Data[[#This Row],[Prac. Book]]="D",Master_Data[[#This Row],[GARP EOC Ques.]]="D"),"D","U")</f>
        <v>U</v>
      </c>
      <c r="AH56" s="255" t="str">
        <f>Master_Data[[#This Row],[GARP 10 Yr Papers]]</f>
        <v>U</v>
      </c>
    </row>
    <row r="57" spans="2:34" ht="27" customHeight="1">
      <c r="B57" s="3">
        <v>49</v>
      </c>
      <c r="C57" s="166" t="str">
        <f ca="1">IF(Master_Data[[#This Row],[Column1]]="Done","",IF(Master_Data[[#This Row],[Column1]]=MIN(Master_Data[Column1]),"Current Week",CONCATENATE("Week ",Master_Data[[#This Row],[Column1]])))</f>
        <v>Week 42</v>
      </c>
      <c r="D57" s="3">
        <f ca="1">IF(Master_Data[[#This Row],[Cum. Undone hrs]]=0,"Done",ROUNDUP(Master_Data[[#This Row],[Cum. Undone hrs]]/Working!$C$8,0))</f>
        <v>42</v>
      </c>
      <c r="E57" s="3">
        <f ca="1">IF(OR(D57=D56,D57=D56+1),Master_Data[[#This Row],[Column1]],D57-1)</f>
        <v>42</v>
      </c>
      <c r="F57" s="11">
        <f>SUM($G$9:G57)</f>
        <v>8.093055555555555</v>
      </c>
      <c r="G57" s="256">
        <f>IF(Master_Data[[#This Row],[Lectures]]="D","",Master_Data[[#This Row],[Duration (hh:mm)]])</f>
        <v>0.11805555555555555</v>
      </c>
      <c r="H57" s="2" t="s">
        <v>185</v>
      </c>
      <c r="I57" s="2">
        <v>48</v>
      </c>
      <c r="J57" s="2" t="s">
        <v>95</v>
      </c>
      <c r="K57" s="36" t="s">
        <v>198</v>
      </c>
      <c r="L57" s="257">
        <v>1</v>
      </c>
      <c r="M57" s="12">
        <v>8</v>
      </c>
      <c r="N57" s="35">
        <v>3</v>
      </c>
      <c r="O57" s="35">
        <v>3</v>
      </c>
      <c r="P57" s="35">
        <v>4</v>
      </c>
      <c r="Q57" s="35">
        <v>4</v>
      </c>
      <c r="R57" s="35">
        <v>5</v>
      </c>
      <c r="S57" s="35">
        <v>5</v>
      </c>
      <c r="T57" s="254">
        <v>0.11805555555555555</v>
      </c>
      <c r="U57" s="34">
        <f>(SUM($T$9:T57)/$T$4)*100</f>
        <v>89.936718629418138</v>
      </c>
      <c r="V57" s="19" t="s">
        <v>6</v>
      </c>
      <c r="W57" s="19" t="s">
        <v>6</v>
      </c>
      <c r="X57" s="19" t="s">
        <v>6</v>
      </c>
      <c r="Y57" s="19" t="s">
        <v>6</v>
      </c>
      <c r="Z57" s="19" t="s">
        <v>6</v>
      </c>
      <c r="AA57" s="19" t="s">
        <v>6</v>
      </c>
      <c r="AB57" s="146">
        <v>2</v>
      </c>
      <c r="AC57" s="13"/>
      <c r="AD57" s="161">
        <f t="shared" si="1"/>
        <v>2.2522522522522521E-2</v>
      </c>
      <c r="AE57" s="162">
        <f>Master_Data[[#This Row],[Imp. Level]]/SUMIF(Master_Data[Subject],Master_Data[[#This Row],[Subject]],Master_Data[Imp. Level])</f>
        <v>7.8125E-2</v>
      </c>
      <c r="AF57" s="144">
        <f>Master_Data[[#This Row],[Subjectwise weights]]*Master_Data[[#This Row],[Confidence Level]]</f>
        <v>0.15625</v>
      </c>
      <c r="AG57" s="145" t="str">
        <f>IF(AND(Master_Data[[#This Row],[Prac. Book]]="D",Master_Data[[#This Row],[GARP EOC Ques.]]="D"),"D","U")</f>
        <v>U</v>
      </c>
      <c r="AH57" s="255" t="str">
        <f>Master_Data[[#This Row],[GARP 10 Yr Papers]]</f>
        <v>U</v>
      </c>
    </row>
    <row r="58" spans="2:34" ht="27" customHeight="1">
      <c r="B58" s="3">
        <v>50</v>
      </c>
      <c r="C58" s="166" t="str">
        <f ca="1">IF(Master_Data[[#This Row],[Column1]]="Done","",IF(Master_Data[[#This Row],[Column1]]=MIN(Master_Data[Column1]),"Current Week",CONCATENATE("Week ",Master_Data[[#This Row],[Column1]])))</f>
        <v>Week 42</v>
      </c>
      <c r="D58" s="3">
        <f ca="1">IF(Master_Data[[#This Row],[Cum. Undone hrs]]=0,"Done",ROUNDUP(Master_Data[[#This Row],[Cum. Undone hrs]]/Working!$C$8,0))</f>
        <v>42</v>
      </c>
      <c r="E58" s="3">
        <f ca="1">IF(OR(D58=D57,D58=D57+1),Master_Data[[#This Row],[Column1]],D58-1)</f>
        <v>42</v>
      </c>
      <c r="F58" s="11">
        <f>SUM($G$9:G58)</f>
        <v>8.1847222222222218</v>
      </c>
      <c r="G58" s="256">
        <f>IF(Master_Data[[#This Row],[Lectures]]="D","",Master_Data[[#This Row],[Duration (hh:mm)]])</f>
        <v>9.166666666666666E-2</v>
      </c>
      <c r="H58" s="2" t="s">
        <v>185</v>
      </c>
      <c r="I58" s="2">
        <v>49</v>
      </c>
      <c r="J58" s="2" t="s">
        <v>95</v>
      </c>
      <c r="K58" s="36" t="s">
        <v>199</v>
      </c>
      <c r="L58" s="257">
        <v>1</v>
      </c>
      <c r="M58" s="12">
        <v>9</v>
      </c>
      <c r="N58" s="35">
        <v>4</v>
      </c>
      <c r="O58" s="35">
        <v>3</v>
      </c>
      <c r="P58" s="35">
        <v>5</v>
      </c>
      <c r="Q58" s="35">
        <v>5</v>
      </c>
      <c r="R58" s="35">
        <v>5</v>
      </c>
      <c r="S58" s="35">
        <v>5</v>
      </c>
      <c r="T58" s="254">
        <v>9.166666666666666E-2</v>
      </c>
      <c r="U58" s="34">
        <f>(SUM($T$9:T58)/$T$4)*100</f>
        <v>90.955394350980114</v>
      </c>
      <c r="V58" s="19" t="s">
        <v>6</v>
      </c>
      <c r="W58" s="19" t="s">
        <v>6</v>
      </c>
      <c r="X58" s="19" t="s">
        <v>6</v>
      </c>
      <c r="Y58" s="19" t="s">
        <v>6</v>
      </c>
      <c r="Z58" s="19" t="s">
        <v>6</v>
      </c>
      <c r="AA58" s="19" t="s">
        <v>6</v>
      </c>
      <c r="AB58" s="146">
        <v>2</v>
      </c>
      <c r="AC58" s="13"/>
      <c r="AD58" s="161">
        <f t="shared" si="1"/>
        <v>2.2522522522522521E-2</v>
      </c>
      <c r="AE58" s="162">
        <f>Master_Data[[#This Row],[Imp. Level]]/SUMIF(Master_Data[Subject],Master_Data[[#This Row],[Subject]],Master_Data[Imp. Level])</f>
        <v>7.8125E-2</v>
      </c>
      <c r="AF58" s="144">
        <f>Master_Data[[#This Row],[Subjectwise weights]]*Master_Data[[#This Row],[Confidence Level]]</f>
        <v>0.15625</v>
      </c>
      <c r="AG58" s="145" t="str">
        <f>IF(AND(Master_Data[[#This Row],[Prac. Book]]="D",Master_Data[[#This Row],[GARP EOC Ques.]]="D"),"D","U")</f>
        <v>U</v>
      </c>
      <c r="AH58" s="255" t="str">
        <f>Master_Data[[#This Row],[GARP 10 Yr Papers]]</f>
        <v>U</v>
      </c>
    </row>
    <row r="59" spans="2:34" ht="27" customHeight="1">
      <c r="B59" s="3">
        <v>51</v>
      </c>
      <c r="C59" s="166" t="str">
        <f ca="1">IF(Master_Data[[#This Row],[Column1]]="Done","",IF(Master_Data[[#This Row],[Column1]]=MIN(Master_Data[Column1]),"Current Week",CONCATENATE("Week ",Master_Data[[#This Row],[Column1]])))</f>
        <v>Week 43</v>
      </c>
      <c r="D59" s="3">
        <f ca="1">IF(Master_Data[[#This Row],[Cum. Undone hrs]]=0,"Done",ROUNDUP(Master_Data[[#This Row],[Cum. Undone hrs]]/Working!$C$8,0))</f>
        <v>43</v>
      </c>
      <c r="E59" s="3">
        <f ca="1">IF(OR(D59=D58,D59=D58+1),Master_Data[[#This Row],[Column1]],D59-1)</f>
        <v>43</v>
      </c>
      <c r="F59" s="11">
        <f>SUM($G$9:G59)</f>
        <v>8.24861111111111</v>
      </c>
      <c r="G59" s="256">
        <f>IF(Master_Data[[#This Row],[Lectures]]="D","",Master_Data[[#This Row],[Duration (hh:mm)]])</f>
        <v>6.3888888888888884E-2</v>
      </c>
      <c r="H59" s="2" t="s">
        <v>185</v>
      </c>
      <c r="I59" s="2">
        <v>54</v>
      </c>
      <c r="J59" s="2" t="s">
        <v>95</v>
      </c>
      <c r="K59" s="36" t="s">
        <v>200</v>
      </c>
      <c r="L59" s="257">
        <v>1</v>
      </c>
      <c r="M59" s="12">
        <v>8</v>
      </c>
      <c r="N59" s="35">
        <v>2</v>
      </c>
      <c r="O59" s="35">
        <v>1</v>
      </c>
      <c r="P59" s="35">
        <v>3</v>
      </c>
      <c r="Q59" s="35">
        <v>3</v>
      </c>
      <c r="R59" s="35">
        <v>3</v>
      </c>
      <c r="S59" s="35">
        <v>3</v>
      </c>
      <c r="T59" s="254">
        <v>6.3888888888888884E-2</v>
      </c>
      <c r="U59" s="34">
        <f>(SUM($T$9:T59)/$T$4)*100</f>
        <v>91.665380459947542</v>
      </c>
      <c r="V59" s="19" t="s">
        <v>6</v>
      </c>
      <c r="W59" s="19" t="s">
        <v>6</v>
      </c>
      <c r="X59" s="19" t="s">
        <v>6</v>
      </c>
      <c r="Y59" s="19" t="s">
        <v>6</v>
      </c>
      <c r="Z59" s="19" t="s">
        <v>6</v>
      </c>
      <c r="AA59" s="19" t="s">
        <v>6</v>
      </c>
      <c r="AB59" s="146">
        <v>3</v>
      </c>
      <c r="AC59" s="13"/>
      <c r="AD59" s="161">
        <f t="shared" si="1"/>
        <v>1.3513513513513514E-2</v>
      </c>
      <c r="AE59" s="162">
        <f>Master_Data[[#This Row],[Imp. Level]]/SUMIF(Master_Data[Subject],Master_Data[[#This Row],[Subject]],Master_Data[Imp. Level])</f>
        <v>4.6875E-2</v>
      </c>
      <c r="AF59" s="144">
        <f>Master_Data[[#This Row],[Subjectwise weights]]*Master_Data[[#This Row],[Confidence Level]]</f>
        <v>0.140625</v>
      </c>
      <c r="AG59" s="145" t="str">
        <f>IF(AND(Master_Data[[#This Row],[Prac. Book]]="D",Master_Data[[#This Row],[GARP EOC Ques.]]="D"),"D","U")</f>
        <v>U</v>
      </c>
      <c r="AH59" s="255" t="str">
        <f>Master_Data[[#This Row],[GARP 10 Yr Papers]]</f>
        <v>U</v>
      </c>
    </row>
    <row r="60" spans="2:34" ht="27" customHeight="1">
      <c r="B60" s="3">
        <v>52</v>
      </c>
      <c r="C60" s="166" t="str">
        <f ca="1">IF(Master_Data[[#This Row],[Column1]]="Done","",IF(Master_Data[[#This Row],[Column1]]=MIN(Master_Data[Column1]),"Current Week",CONCATENATE("Week ",Master_Data[[#This Row],[Column1]])))</f>
        <v>Week 43</v>
      </c>
      <c r="D60" s="3">
        <f ca="1">IF(Master_Data[[#This Row],[Cum. Undone hrs]]=0,"Done",ROUNDUP(Master_Data[[#This Row],[Cum. Undone hrs]]/Working!$C$8,0))</f>
        <v>43</v>
      </c>
      <c r="E60" s="3">
        <f ca="1">IF(OR(D60=D59,D60=D59+1),Master_Data[[#This Row],[Column1]],D60-1)</f>
        <v>43</v>
      </c>
      <c r="F60" s="11">
        <f>SUM($G$9:G60)</f>
        <v>8.3694444444444436</v>
      </c>
      <c r="G60" s="256">
        <f>IF(Master_Data[[#This Row],[Lectures]]="D","",Master_Data[[#This Row],[Duration (hh:mm)]])</f>
        <v>0.12083333333333333</v>
      </c>
      <c r="H60" s="2" t="s">
        <v>185</v>
      </c>
      <c r="I60" s="2">
        <v>52</v>
      </c>
      <c r="J60" s="2" t="s">
        <v>95</v>
      </c>
      <c r="K60" s="36" t="s">
        <v>201</v>
      </c>
      <c r="L60" s="257">
        <v>1</v>
      </c>
      <c r="M60" s="12">
        <v>11</v>
      </c>
      <c r="N60" s="35">
        <v>3</v>
      </c>
      <c r="O60" s="35">
        <v>3</v>
      </c>
      <c r="P60" s="35">
        <v>4</v>
      </c>
      <c r="Q60" s="35">
        <v>4</v>
      </c>
      <c r="R60" s="35">
        <v>4</v>
      </c>
      <c r="S60" s="35">
        <v>4</v>
      </c>
      <c r="T60" s="254">
        <v>0.12083333333333333</v>
      </c>
      <c r="U60" s="34">
        <f>(SUM($T$9:T60)/$T$4)*100</f>
        <v>93.008180274733775</v>
      </c>
      <c r="V60" s="19" t="s">
        <v>6</v>
      </c>
      <c r="W60" s="19" t="s">
        <v>6</v>
      </c>
      <c r="X60" s="19" t="s">
        <v>6</v>
      </c>
      <c r="Y60" s="19" t="s">
        <v>6</v>
      </c>
      <c r="Z60" s="19" t="s">
        <v>6</v>
      </c>
      <c r="AA60" s="19" t="s">
        <v>6</v>
      </c>
      <c r="AB60" s="146">
        <v>3</v>
      </c>
      <c r="AC60" s="13"/>
      <c r="AD60" s="161">
        <f t="shared" si="1"/>
        <v>1.8018018018018018E-2</v>
      </c>
      <c r="AE60" s="162">
        <f>Master_Data[[#This Row],[Imp. Level]]/SUMIF(Master_Data[Subject],Master_Data[[#This Row],[Subject]],Master_Data[Imp. Level])</f>
        <v>6.25E-2</v>
      </c>
      <c r="AF60" s="144">
        <f>Master_Data[[#This Row],[Subjectwise weights]]*Master_Data[[#This Row],[Confidence Level]]</f>
        <v>0.1875</v>
      </c>
      <c r="AG60" s="145" t="str">
        <f>IF(AND(Master_Data[[#This Row],[Prac. Book]]="D",Master_Data[[#This Row],[GARP EOC Ques.]]="D"),"D","U")</f>
        <v>U</v>
      </c>
      <c r="AH60" s="255" t="str">
        <f>Master_Data[[#This Row],[GARP 10 Yr Papers]]</f>
        <v>U</v>
      </c>
    </row>
    <row r="61" spans="2:34" ht="27" customHeight="1">
      <c r="B61" s="3">
        <v>53</v>
      </c>
      <c r="C61" s="166" t="str">
        <f ca="1">IF(Master_Data[[#This Row],[Column1]]="Done","",IF(Master_Data[[#This Row],[Column1]]=MIN(Master_Data[Column1]),"Current Week",CONCATENATE("Week ",Master_Data[[#This Row],[Column1]])))</f>
        <v>Week 44</v>
      </c>
      <c r="D61" s="3">
        <f ca="1">IF(Master_Data[[#This Row],[Cum. Undone hrs]]=0,"Done",ROUNDUP(Master_Data[[#This Row],[Cum. Undone hrs]]/Working!$C$8,0))</f>
        <v>44</v>
      </c>
      <c r="E61" s="3">
        <f ca="1">IF(OR(D61=D60,D61=D60+1),Master_Data[[#This Row],[Column1]],D61-1)</f>
        <v>44</v>
      </c>
      <c r="F61" s="11">
        <f>SUM($G$9:G61)</f>
        <v>8.5270833333333318</v>
      </c>
      <c r="G61" s="256">
        <f>IF(Master_Data[[#This Row],[Lectures]]="D","",Master_Data[[#This Row],[Duration (hh:mm)]])</f>
        <v>0.15763888888888888</v>
      </c>
      <c r="H61" s="2" t="s">
        <v>185</v>
      </c>
      <c r="I61" s="2">
        <v>53</v>
      </c>
      <c r="J61" s="2" t="s">
        <v>95</v>
      </c>
      <c r="K61" s="36" t="s">
        <v>202</v>
      </c>
      <c r="L61" s="257">
        <v>1</v>
      </c>
      <c r="M61" s="12">
        <v>10</v>
      </c>
      <c r="N61" s="35">
        <v>5</v>
      </c>
      <c r="O61" s="35">
        <v>2</v>
      </c>
      <c r="P61" s="35">
        <v>3</v>
      </c>
      <c r="Q61" s="35">
        <v>4</v>
      </c>
      <c r="R61" s="35">
        <v>4</v>
      </c>
      <c r="S61" s="35">
        <v>4</v>
      </c>
      <c r="T61" s="254">
        <v>0.15763888888888888</v>
      </c>
      <c r="U61" s="34">
        <f>(SUM($T$9:T61)/$T$4)*100</f>
        <v>94.759993826207761</v>
      </c>
      <c r="V61" s="19" t="s">
        <v>6</v>
      </c>
      <c r="W61" s="19" t="s">
        <v>6</v>
      </c>
      <c r="X61" s="19" t="s">
        <v>6</v>
      </c>
      <c r="Y61" s="19" t="s">
        <v>6</v>
      </c>
      <c r="Z61" s="19" t="s">
        <v>6</v>
      </c>
      <c r="AA61" s="19" t="s">
        <v>6</v>
      </c>
      <c r="AB61" s="146">
        <v>3</v>
      </c>
      <c r="AC61" s="13"/>
      <c r="AD61" s="161">
        <f t="shared" si="1"/>
        <v>1.8018018018018018E-2</v>
      </c>
      <c r="AE61" s="162">
        <f>Master_Data[[#This Row],[Imp. Level]]/SUMIF(Master_Data[Subject],Master_Data[[#This Row],[Subject]],Master_Data[Imp. Level])</f>
        <v>6.25E-2</v>
      </c>
      <c r="AF61" s="144">
        <f>Master_Data[[#This Row],[Subjectwise weights]]*Master_Data[[#This Row],[Confidence Level]]</f>
        <v>0.1875</v>
      </c>
      <c r="AG61" s="145" t="str">
        <f>IF(AND(Master_Data[[#This Row],[Prac. Book]]="D",Master_Data[[#This Row],[GARP EOC Ques.]]="D"),"D","U")</f>
        <v>U</v>
      </c>
      <c r="AH61" s="255" t="str">
        <f>Master_Data[[#This Row],[GARP 10 Yr Papers]]</f>
        <v>U</v>
      </c>
    </row>
    <row r="62" spans="2:34" ht="27" customHeight="1">
      <c r="B62" s="3">
        <v>54</v>
      </c>
      <c r="C62" s="166" t="str">
        <f ca="1">IF(Master_Data[[#This Row],[Column1]]="Done","",IF(Master_Data[[#This Row],[Column1]]=MIN(Master_Data[Column1]),"Current Week",CONCATENATE("Week ",Master_Data[[#This Row],[Column1]])))</f>
        <v>Week 44</v>
      </c>
      <c r="D62" s="3">
        <f ca="1">IF(Master_Data[[#This Row],[Cum. Undone hrs]]=0,"Done",ROUNDUP(Master_Data[[#This Row],[Cum. Undone hrs]]/Working!$C$8,0))</f>
        <v>44</v>
      </c>
      <c r="E62" s="3">
        <f ca="1">IF(OR(D62=D61,D62=D61+1),Master_Data[[#This Row],[Column1]],D62-1)</f>
        <v>44</v>
      </c>
      <c r="F62" s="11">
        <f>SUM($G$9:G62)</f>
        <v>8.6243055555555532</v>
      </c>
      <c r="G62" s="256">
        <f>IF(Master_Data[[#This Row],[Lectures]]="D","",Master_Data[[#This Row],[Duration (hh:mm)]])</f>
        <v>9.7222222222222224E-2</v>
      </c>
      <c r="H62" s="2" t="s">
        <v>163</v>
      </c>
      <c r="I62" s="2">
        <v>9</v>
      </c>
      <c r="J62" s="2" t="s">
        <v>95</v>
      </c>
      <c r="K62" s="36" t="s">
        <v>203</v>
      </c>
      <c r="L62" s="257">
        <v>1</v>
      </c>
      <c r="M62" s="12">
        <v>10</v>
      </c>
      <c r="N62" s="35">
        <v>3</v>
      </c>
      <c r="O62" s="35">
        <v>1</v>
      </c>
      <c r="P62" s="35">
        <v>4</v>
      </c>
      <c r="Q62" s="35">
        <v>4</v>
      </c>
      <c r="R62" s="35">
        <v>4</v>
      </c>
      <c r="S62" s="35">
        <v>5</v>
      </c>
      <c r="T62" s="254">
        <v>9.7222222222222224E-2</v>
      </c>
      <c r="U62" s="34">
        <f>(SUM($T$9:T62)/$T$4)*100</f>
        <v>95.840407470288625</v>
      </c>
      <c r="V62" s="19" t="s">
        <v>6</v>
      </c>
      <c r="W62" s="19" t="s">
        <v>6</v>
      </c>
      <c r="X62" s="19" t="s">
        <v>6</v>
      </c>
      <c r="Y62" s="19" t="s">
        <v>6</v>
      </c>
      <c r="Z62" s="19" t="s">
        <v>6</v>
      </c>
      <c r="AA62" s="19" t="s">
        <v>6</v>
      </c>
      <c r="AB62" s="146">
        <v>3</v>
      </c>
      <c r="AC62" s="13"/>
      <c r="AD62" s="161">
        <f t="shared" si="1"/>
        <v>1.8018018018018018E-2</v>
      </c>
      <c r="AE62" s="162">
        <f>Master_Data[[#This Row],[Imp. Level]]/SUMIF(Master_Data[Subject],Master_Data[[#This Row],[Subject]],Master_Data[Imp. Level])</f>
        <v>0.10256410256410256</v>
      </c>
      <c r="AF62" s="144">
        <f>Master_Data[[#This Row],[Subjectwise weights]]*Master_Data[[#This Row],[Confidence Level]]</f>
        <v>0.30769230769230771</v>
      </c>
      <c r="AG62" s="145" t="str">
        <f>IF(AND(Master_Data[[#This Row],[Prac. Book]]="D",Master_Data[[#This Row],[GARP EOC Ques.]]="D"),"D","U")</f>
        <v>U</v>
      </c>
      <c r="AH62" s="255" t="str">
        <f>Master_Data[[#This Row],[GARP 10 Yr Papers]]</f>
        <v>U</v>
      </c>
    </row>
    <row r="63" spans="2:34" ht="27" customHeight="1">
      <c r="B63" s="3">
        <v>55</v>
      </c>
      <c r="C63" s="166" t="str">
        <f ca="1">IF(Master_Data[[#This Row],[Column1]]="Done","",IF(Master_Data[[#This Row],[Column1]]=MIN(Master_Data[Column1]),"Current Week",CONCATENATE("Week ",Master_Data[[#This Row],[Column1]])))</f>
        <v>Week 45</v>
      </c>
      <c r="D63" s="3">
        <f ca="1">IF(Master_Data[[#This Row],[Cum. Undone hrs]]=0,"Done",ROUNDUP(Master_Data[[#This Row],[Cum. Undone hrs]]/Working!$C$8,0))</f>
        <v>45</v>
      </c>
      <c r="E63" s="3">
        <f ca="1">IF(OR(D63=D62,D63=D62+1),Master_Data[[#This Row],[Column1]],D63-1)</f>
        <v>45</v>
      </c>
      <c r="F63" s="11">
        <f>SUM($G$9:G63)</f>
        <v>8.7798611111111082</v>
      </c>
      <c r="G63" s="256">
        <f>IF(Master_Data[[#This Row],[Lectures]]="D","",Master_Data[[#This Row],[Duration (hh:mm)]])</f>
        <v>0.15555555555555556</v>
      </c>
      <c r="H63" s="2" t="s">
        <v>163</v>
      </c>
      <c r="I63" s="2">
        <v>8</v>
      </c>
      <c r="J63" s="2" t="s">
        <v>95</v>
      </c>
      <c r="K63" s="36" t="s">
        <v>204</v>
      </c>
      <c r="L63" s="257">
        <v>1</v>
      </c>
      <c r="M63" s="12">
        <v>6</v>
      </c>
      <c r="N63" s="35">
        <v>3</v>
      </c>
      <c r="O63" s="35">
        <v>1</v>
      </c>
      <c r="P63" s="35">
        <v>2</v>
      </c>
      <c r="Q63" s="35">
        <v>2</v>
      </c>
      <c r="R63" s="35">
        <v>3</v>
      </c>
      <c r="S63" s="35">
        <v>3</v>
      </c>
      <c r="T63" s="254">
        <v>0.15555555555555556</v>
      </c>
      <c r="U63" s="34">
        <f>(SUM($T$9:T63)/$T$4)*100</f>
        <v>97.569069300818029</v>
      </c>
      <c r="V63" s="19" t="s">
        <v>6</v>
      </c>
      <c r="W63" s="19" t="s">
        <v>6</v>
      </c>
      <c r="X63" s="19" t="s">
        <v>6</v>
      </c>
      <c r="Y63" s="19" t="s">
        <v>6</v>
      </c>
      <c r="Z63" s="19" t="s">
        <v>6</v>
      </c>
      <c r="AA63" s="19" t="s">
        <v>6</v>
      </c>
      <c r="AB63" s="146">
        <v>3</v>
      </c>
      <c r="AC63" s="13"/>
      <c r="AD63" s="161">
        <f t="shared" si="1"/>
        <v>1.3513513513513514E-2</v>
      </c>
      <c r="AE63" s="162">
        <f>Master_Data[[#This Row],[Imp. Level]]/SUMIF(Master_Data[Subject],Master_Data[[#This Row],[Subject]],Master_Data[Imp. Level])</f>
        <v>7.6923076923076927E-2</v>
      </c>
      <c r="AF63" s="144">
        <f>Master_Data[[#This Row],[Subjectwise weights]]*Master_Data[[#This Row],[Confidence Level]]</f>
        <v>0.23076923076923078</v>
      </c>
      <c r="AG63" s="145" t="str">
        <f>IF(AND(Master_Data[[#This Row],[Prac. Book]]="D",Master_Data[[#This Row],[GARP EOC Ques.]]="D"),"D","U")</f>
        <v>U</v>
      </c>
      <c r="AH63" s="255" t="str">
        <f>Master_Data[[#This Row],[GARP 10 Yr Papers]]</f>
        <v>U</v>
      </c>
    </row>
    <row r="64" spans="2:34" ht="27" customHeight="1">
      <c r="B64" s="3">
        <v>56</v>
      </c>
      <c r="C64" s="166" t="str">
        <f ca="1">IF(Master_Data[[#This Row],[Column1]]="Done","",IF(Master_Data[[#This Row],[Column1]]=MIN(Master_Data[Column1]),"Current Week",CONCATENATE("Week ",Master_Data[[#This Row],[Column1]])))</f>
        <v>Week 46</v>
      </c>
      <c r="D64" s="3">
        <f ca="1">IF(Master_Data[[#This Row],[Cum. Undone hrs]]=0,"Done",ROUNDUP(Master_Data[[#This Row],[Cum. Undone hrs]]/Working!$C$8,0))</f>
        <v>46</v>
      </c>
      <c r="E64" s="3">
        <f ca="1">IF(OR(D64=D63,D64=D63+1),Master_Data[[#This Row],[Column1]],D64-1)</f>
        <v>46</v>
      </c>
      <c r="F64" s="11">
        <f>SUM($G$9:G65)</f>
        <v>8.9986111111111082</v>
      </c>
      <c r="G64" s="256">
        <f>IF(Master_Data[[#This Row],[Lectures]]="D","",Master_Data[[#This Row],[Duration (hh:mm)]])</f>
        <v>8.611111111111111E-2</v>
      </c>
      <c r="H64" s="2" t="s">
        <v>163</v>
      </c>
      <c r="I64" s="2">
        <v>3</v>
      </c>
      <c r="J64" s="2" t="s">
        <v>95</v>
      </c>
      <c r="K64" s="36" t="s">
        <v>205</v>
      </c>
      <c r="L64" s="257">
        <v>1</v>
      </c>
      <c r="M64" s="12">
        <v>6</v>
      </c>
      <c r="N64" s="35">
        <v>3</v>
      </c>
      <c r="O64" s="35">
        <v>1</v>
      </c>
      <c r="P64" s="35">
        <v>2</v>
      </c>
      <c r="Q64" s="35">
        <v>3</v>
      </c>
      <c r="R64" s="35">
        <v>3</v>
      </c>
      <c r="S64" s="35">
        <v>3</v>
      </c>
      <c r="T64" s="254">
        <v>8.611111111111111E-2</v>
      </c>
      <c r="U64" s="34">
        <f>(SUM($T$9:T64)/$T$4)*100</f>
        <v>98.526007099861076</v>
      </c>
      <c r="V64" s="19" t="s">
        <v>6</v>
      </c>
      <c r="W64" s="19" t="s">
        <v>6</v>
      </c>
      <c r="X64" s="19" t="s">
        <v>6</v>
      </c>
      <c r="Y64" s="19" t="s">
        <v>6</v>
      </c>
      <c r="Z64" s="19" t="s">
        <v>6</v>
      </c>
      <c r="AA64" s="19" t="s">
        <v>6</v>
      </c>
      <c r="AB64" s="146">
        <v>2</v>
      </c>
      <c r="AC64" s="13"/>
      <c r="AD64" s="161">
        <f t="shared" si="1"/>
        <v>1.3513513513513514E-2</v>
      </c>
      <c r="AE64" s="162">
        <f>Master_Data[[#This Row],[Imp. Level]]/SUMIF(Master_Data[Subject],Master_Data[[#This Row],[Subject]],Master_Data[Imp. Level])</f>
        <v>7.6923076923076927E-2</v>
      </c>
      <c r="AF64" s="144">
        <f>Master_Data[[#This Row],[Subjectwise weights]]*Master_Data[[#This Row],[Confidence Level]]</f>
        <v>0.15384615384615385</v>
      </c>
      <c r="AG64" s="145" t="str">
        <f>IF(AND(Master_Data[[#This Row],[Prac. Book]]="D",Master_Data[[#This Row],[GARP EOC Ques.]]="D"),"D","U")</f>
        <v>U</v>
      </c>
      <c r="AH64" s="255" t="str">
        <f>Master_Data[[#This Row],[GARP 10 Yr Papers]]</f>
        <v>U</v>
      </c>
    </row>
    <row r="65" spans="2:34" ht="27" customHeight="1">
      <c r="B65" s="3">
        <v>57</v>
      </c>
      <c r="C65" s="166" t="str">
        <f ca="1">IF(Master_Data[[#This Row],[Column1]]="Done","",IF(Master_Data[[#This Row],[Column1]]=MIN(Master_Data[Column1]),"Current Week",CONCATENATE("Week ",Master_Data[[#This Row],[Column1]])))</f>
        <v>Week 46</v>
      </c>
      <c r="D65" s="3">
        <f ca="1">IF(Master_Data[[#This Row],[Cum. Undone hrs]]=0,"Done",ROUNDUP(Master_Data[[#This Row],[Cum. Undone hrs]]/Working!$C$8,0))</f>
        <v>46</v>
      </c>
      <c r="E65" s="3">
        <f ca="1">IF(OR(D65=D64,D65=D64+1),Master_Data[[#This Row],[Column1]],D65-1)</f>
        <v>46</v>
      </c>
      <c r="F65" s="11">
        <f>SUM($G$9:G65)</f>
        <v>8.9986111111111082</v>
      </c>
      <c r="G65" s="256">
        <f>IF(Master_Data[[#This Row],[Lectures]]="D","",Master_Data[[#This Row],[Duration (hh:mm)]])</f>
        <v>0.13263888888888889</v>
      </c>
      <c r="H65" s="2" t="s">
        <v>163</v>
      </c>
      <c r="I65" s="2">
        <v>2</v>
      </c>
      <c r="J65" s="2" t="s">
        <v>95</v>
      </c>
      <c r="K65" s="36" t="s">
        <v>228</v>
      </c>
      <c r="L65" s="257">
        <v>1</v>
      </c>
      <c r="M65" s="12">
        <v>5</v>
      </c>
      <c r="N65" s="35">
        <v>3</v>
      </c>
      <c r="O65" s="35">
        <v>1</v>
      </c>
      <c r="P65" s="35">
        <v>3</v>
      </c>
      <c r="Q65" s="35">
        <v>3</v>
      </c>
      <c r="R65" s="35">
        <v>3</v>
      </c>
      <c r="S65" s="35">
        <v>3</v>
      </c>
      <c r="T65" s="254">
        <v>0.13263888888888889</v>
      </c>
      <c r="U65" s="34">
        <f>(SUM($T$9:T65)/$T$4)*100</f>
        <v>100</v>
      </c>
      <c r="V65" s="19" t="s">
        <v>6</v>
      </c>
      <c r="W65" s="19" t="s">
        <v>6</v>
      </c>
      <c r="X65" s="19" t="s">
        <v>6</v>
      </c>
      <c r="Y65" s="19" t="s">
        <v>6</v>
      </c>
      <c r="Z65" s="19" t="s">
        <v>6</v>
      </c>
      <c r="AA65" s="19" t="s">
        <v>6</v>
      </c>
      <c r="AB65" s="146">
        <v>3</v>
      </c>
      <c r="AC65" s="13"/>
      <c r="AD65" s="161">
        <f t="shared" si="1"/>
        <v>1.3513513513513514E-2</v>
      </c>
      <c r="AE65" s="162">
        <f>Master_Data[[#This Row],[Imp. Level]]/SUMIF(Master_Data[Subject],Master_Data[[#This Row],[Subject]],Master_Data[Imp. Level])</f>
        <v>7.6923076923076927E-2</v>
      </c>
      <c r="AF65" s="144">
        <f>Master_Data[[#This Row],[Subjectwise weights]]*Master_Data[[#This Row],[Confidence Level]]</f>
        <v>0.23076923076923078</v>
      </c>
      <c r="AG65" s="145" t="str">
        <f>IF(AND(Master_Data[[#This Row],[Prac. Book]]="D",Master_Data[[#This Row],[GARP EOC Ques.]]="D"),"D","U")</f>
        <v>U</v>
      </c>
      <c r="AH65" s="255" t="str">
        <f>Master_Data[[#This Row],[GARP 10 Yr Papers]]</f>
        <v>U</v>
      </c>
    </row>
  </sheetData>
  <sheetProtection algorithmName="SHA-512" hashValue="HJEVtHRjbMzEyiO1vZNvdZssP2mz2UENeMOf8EIRXCqVjfXa1tBSCDq8kqEdJMDGI9+Jh3AcIWuqJgheWdioww==" saltValue="NdsDv9Mt1AFDsK8DtdyHrQ==" spinCount="100000" sheet="1" selectLockedCells="1"/>
  <mergeCells count="3">
    <mergeCell ref="B4:Q5"/>
    <mergeCell ref="R4:S4"/>
    <mergeCell ref="R5:S5"/>
  </mergeCells>
  <phoneticPr fontId="30" type="noConversion"/>
  <conditionalFormatting sqref="C9:C65">
    <cfRule type="containsText" dxfId="27" priority="5" operator="containsText" text="Current Week">
      <formula>NOT(ISERROR(SEARCH("Current Week",C9)))</formula>
    </cfRule>
  </conditionalFormatting>
  <conditionalFormatting sqref="K9:L65">
    <cfRule type="expression" dxfId="26" priority="29">
      <formula>$J9="changes"</formula>
    </cfRule>
    <cfRule type="expression" dxfId="25" priority="30">
      <formula>$J9="new"</formula>
    </cfRule>
  </conditionalFormatting>
  <conditionalFormatting sqref="M9:M65">
    <cfRule type="colorScale" priority="401">
      <colorScale>
        <cfvo type="min"/>
        <cfvo type="max"/>
        <color theme="2" tint="-9.9978637043366805E-2"/>
        <color theme="2" tint="-0.749992370372631"/>
      </colorScale>
    </cfRule>
  </conditionalFormatting>
  <conditionalFormatting sqref="N9:S65">
    <cfRule type="colorScale" priority="402">
      <colorScale>
        <cfvo type="min"/>
        <cfvo type="max"/>
        <color theme="0"/>
        <color theme="0" tint="-0.14999847407452621"/>
      </colorScale>
    </cfRule>
  </conditionalFormatting>
  <conditionalFormatting sqref="T4:T5">
    <cfRule type="dataBar" priority="15">
      <dataBar>
        <cfvo type="min"/>
        <cfvo type="max"/>
        <color theme="0" tint="-0.14999847407452621"/>
      </dataBar>
      <extLst>
        <ext xmlns:x14="http://schemas.microsoft.com/office/spreadsheetml/2009/9/main" uri="{B025F937-C7B1-47D3-B67F-A62EFF666E3E}">
          <x14:id>{E4A8D60C-94AF-41F5-AC8E-3BEE7C7A919E}</x14:id>
        </ext>
      </extLst>
    </cfRule>
  </conditionalFormatting>
  <conditionalFormatting sqref="T9:T65">
    <cfRule type="colorScale" priority="403">
      <colorScale>
        <cfvo type="min"/>
        <cfvo type="max"/>
        <color theme="0"/>
        <color theme="7" tint="0.39997558519241921"/>
      </colorScale>
    </cfRule>
  </conditionalFormatting>
  <conditionalFormatting sqref="U4:U5">
    <cfRule type="dataBar" priority="16">
      <dataBar>
        <cfvo type="min"/>
        <cfvo type="max"/>
        <color theme="0" tint="-0.14999847407452621"/>
      </dataBar>
      <extLst>
        <ext xmlns:x14="http://schemas.microsoft.com/office/spreadsheetml/2009/9/main" uri="{B025F937-C7B1-47D3-B67F-A62EFF666E3E}">
          <x14:id>{53AFC59F-8A2D-4DA2-86C0-21A15848E0DE}</x14:id>
        </ext>
      </extLst>
    </cfRule>
  </conditionalFormatting>
  <conditionalFormatting sqref="U9:U65">
    <cfRule type="dataBar" priority="404">
      <dataBar>
        <cfvo type="min"/>
        <cfvo type="max"/>
        <color theme="7" tint="0.39997558519241921"/>
      </dataBar>
      <extLst>
        <ext xmlns:x14="http://schemas.microsoft.com/office/spreadsheetml/2009/9/main" uri="{B025F937-C7B1-47D3-B67F-A62EFF666E3E}">
          <x14:id>{614AF0CC-EB9B-4C9C-8C78-FCAD106B4EBE}</x14:id>
        </ext>
      </extLst>
    </cfRule>
  </conditionalFormatting>
  <conditionalFormatting sqref="V4:AA5">
    <cfRule type="dataBar" priority="25">
      <dataBar>
        <cfvo type="min"/>
        <cfvo type="max"/>
        <color theme="0" tint="-0.14999847407452621"/>
      </dataBar>
      <extLst>
        <ext xmlns:x14="http://schemas.microsoft.com/office/spreadsheetml/2009/9/main" uri="{B025F937-C7B1-47D3-B67F-A62EFF666E3E}">
          <x14:id>{F9B9F512-9F8C-444B-B3E0-623FD50240CF}</x14:id>
        </ext>
      </extLst>
    </cfRule>
  </conditionalFormatting>
  <conditionalFormatting sqref="V9:AA65">
    <cfRule type="containsText" dxfId="24" priority="13" operator="containsText" text="D">
      <formula>NOT(ISERROR(SEARCH("D",V9)))</formula>
    </cfRule>
    <cfRule type="containsText" dxfId="23" priority="14" operator="containsText" text="U">
      <formula>NOT(ISERROR(SEARCH("U",V9)))</formula>
    </cfRule>
  </conditionalFormatting>
  <conditionalFormatting sqref="AB4:AB5">
    <cfRule type="dataBar" priority="1">
      <dataBar>
        <cfvo type="min"/>
        <cfvo type="max"/>
        <color theme="0" tint="-0.14999847407452621"/>
      </dataBar>
      <extLst>
        <ext xmlns:x14="http://schemas.microsoft.com/office/spreadsheetml/2009/9/main" uri="{B025F937-C7B1-47D3-B67F-A62EFF666E3E}">
          <x14:id>{BD2A8453-D315-4396-A5BF-45134448A47A}</x14:id>
        </ext>
      </extLst>
    </cfRule>
  </conditionalFormatting>
  <conditionalFormatting sqref="AB9:AB65">
    <cfRule type="colorScale" priority="405">
      <colorScale>
        <cfvo type="min"/>
        <cfvo type="max"/>
        <color theme="0"/>
        <color theme="0" tint="-0.14999847407452621"/>
      </colorScale>
    </cfRule>
  </conditionalFormatting>
  <conditionalFormatting sqref="AE9:AE65">
    <cfRule type="expression" dxfId="22" priority="7">
      <formula>#REF!="C"</formula>
    </cfRule>
    <cfRule type="expression" dxfId="21" priority="8">
      <formula>#REF!="B"</formula>
    </cfRule>
    <cfRule type="expression" dxfId="20" priority="9">
      <formula>#REF!="A"</formula>
    </cfRule>
  </conditionalFormatting>
  <dataValidations count="2">
    <dataValidation type="whole" allowBlank="1" showInputMessage="1" showErrorMessage="1" errorTitle="Confidence Level" error="Please Rate your Confidence Level on the Scale of 1-5." sqref="AB9:AB65" xr:uid="{6CB7B2CB-1406-4433-95D0-2AC9E3606557}">
      <formula1>1</formula1>
      <formula2>5</formula2>
    </dataValidation>
    <dataValidation type="list" allowBlank="1" showInputMessage="1" sqref="V9:AA65" xr:uid="{7DA91DE3-604C-4412-B794-4F4D3EC10586}">
      <formula1>"U,D"</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A8D60C-94AF-41F5-AC8E-3BEE7C7A919E}">
            <x14:dataBar minLength="0" maxLength="100" gradient="0">
              <x14:cfvo type="autoMin"/>
              <x14:cfvo type="autoMax"/>
              <x14:negativeFillColor rgb="FFFF0000"/>
              <x14:axisColor rgb="FF000000"/>
            </x14:dataBar>
          </x14:cfRule>
          <xm:sqref>T4:T5</xm:sqref>
        </x14:conditionalFormatting>
        <x14:conditionalFormatting xmlns:xm="http://schemas.microsoft.com/office/excel/2006/main">
          <x14:cfRule type="dataBar" id="{53AFC59F-8A2D-4DA2-86C0-21A15848E0DE}">
            <x14:dataBar minLength="0" maxLength="100" gradient="0">
              <x14:cfvo type="autoMin"/>
              <x14:cfvo type="autoMax"/>
              <x14:negativeFillColor rgb="FFFF0000"/>
              <x14:axisColor rgb="FF000000"/>
            </x14:dataBar>
          </x14:cfRule>
          <xm:sqref>U4:U5</xm:sqref>
        </x14:conditionalFormatting>
        <x14:conditionalFormatting xmlns:xm="http://schemas.microsoft.com/office/excel/2006/main">
          <x14:cfRule type="dataBar" id="{614AF0CC-EB9B-4C9C-8C78-FCAD106B4EBE}">
            <x14:dataBar minLength="0" maxLength="100" gradient="0">
              <x14:cfvo type="autoMin"/>
              <x14:cfvo type="autoMax"/>
              <x14:negativeFillColor rgb="FFFF0000"/>
              <x14:axisColor rgb="FF000000"/>
            </x14:dataBar>
          </x14:cfRule>
          <xm:sqref>U9:U65</xm:sqref>
        </x14:conditionalFormatting>
        <x14:conditionalFormatting xmlns:xm="http://schemas.microsoft.com/office/excel/2006/main">
          <x14:cfRule type="dataBar" id="{F9B9F512-9F8C-444B-B3E0-623FD50240CF}">
            <x14:dataBar minLength="0" maxLength="100" gradient="0">
              <x14:cfvo type="autoMin"/>
              <x14:cfvo type="autoMax"/>
              <x14:negativeFillColor rgb="FFFF0000"/>
              <x14:axisColor rgb="FF000000"/>
            </x14:dataBar>
          </x14:cfRule>
          <xm:sqref>V4:AA5</xm:sqref>
        </x14:conditionalFormatting>
        <x14:conditionalFormatting xmlns:xm="http://schemas.microsoft.com/office/excel/2006/main">
          <x14:cfRule type="dataBar" id="{BD2A8453-D315-4396-A5BF-45134448A47A}">
            <x14:dataBar minLength="0" maxLength="100" gradient="0">
              <x14:cfvo type="autoMin"/>
              <x14:cfvo type="autoMax"/>
              <x14:negativeFillColor rgb="FFFF0000"/>
              <x14:axisColor rgb="FF000000"/>
            </x14:dataBar>
          </x14:cfRule>
          <xm:sqref>AB4:AB5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39997558519241921"/>
  </sheetPr>
  <dimension ref="B1:AJ85"/>
  <sheetViews>
    <sheetView showGridLines="0" topLeftCell="B1" zoomScale="90" zoomScaleNormal="90" workbookViewId="0">
      <selection activeCell="I37" sqref="I37"/>
    </sheetView>
  </sheetViews>
  <sheetFormatPr defaultColWidth="9.140625" defaultRowHeight="15.75"/>
  <cols>
    <col min="1" max="1" width="9.140625" style="20"/>
    <col min="2" max="2" width="3.42578125" style="20" customWidth="1"/>
    <col min="3" max="3" width="23.85546875" style="20" customWidth="1"/>
    <col min="4" max="4" width="12.140625" style="20" customWidth="1"/>
    <col min="5" max="5" width="9.85546875" style="20" customWidth="1"/>
    <col min="6" max="6" width="11.7109375" style="20" hidden="1" customWidth="1"/>
    <col min="7" max="7" width="10.5703125" style="20" customWidth="1"/>
    <col min="8" max="8" width="10.7109375" style="20" customWidth="1"/>
    <col min="9" max="9" width="10.7109375" style="21" customWidth="1"/>
    <col min="10" max="10" width="14.140625" style="21" customWidth="1"/>
    <col min="11" max="11" width="12.28515625" style="21" customWidth="1"/>
    <col min="12" max="12" width="10.5703125" style="20" customWidth="1"/>
    <col min="13" max="13" width="9.140625" style="22"/>
    <col min="14" max="14" width="10.28515625" style="22" customWidth="1"/>
    <col min="15" max="15" width="12" style="22" customWidth="1"/>
    <col min="16" max="16" width="4.42578125" style="22" customWidth="1"/>
    <col min="17" max="17" width="11.5703125" style="22" customWidth="1"/>
    <col min="18" max="18" width="17.140625" style="22" bestFit="1" customWidth="1"/>
    <col min="19" max="26" width="9.140625" style="22"/>
    <col min="27" max="16384" width="9.140625" style="20"/>
  </cols>
  <sheetData>
    <row r="1" spans="2:20" ht="8.4499999999999993" customHeight="1"/>
    <row r="2" spans="2:20" s="68" customFormat="1" ht="15.75" customHeight="1">
      <c r="C2" s="271" t="s">
        <v>8</v>
      </c>
      <c r="D2" s="271"/>
      <c r="E2" s="271"/>
      <c r="F2" s="271"/>
      <c r="G2" s="271"/>
      <c r="H2" s="271"/>
      <c r="I2" s="271"/>
      <c r="J2" s="271"/>
      <c r="K2" s="271"/>
      <c r="L2" s="271"/>
    </row>
    <row r="3" spans="2:20" s="68" customFormat="1" ht="11.45" customHeight="1">
      <c r="C3" s="271"/>
      <c r="D3" s="271"/>
      <c r="E3" s="271"/>
      <c r="F3" s="271"/>
      <c r="G3" s="271"/>
      <c r="H3" s="271"/>
      <c r="I3" s="271"/>
      <c r="J3" s="271"/>
      <c r="K3" s="271"/>
      <c r="L3" s="271"/>
    </row>
    <row r="4" spans="2:20" s="22" customFormat="1" ht="11.45" customHeight="1">
      <c r="C4" s="47"/>
      <c r="D4" s="47"/>
      <c r="E4" s="47"/>
      <c r="F4" s="47"/>
      <c r="G4" s="47"/>
      <c r="H4" s="47"/>
      <c r="I4" s="47"/>
      <c r="J4" s="47"/>
      <c r="K4" s="47"/>
      <c r="L4" s="47"/>
    </row>
    <row r="5" spans="2:20" s="22" customFormat="1" ht="11.45" customHeight="1">
      <c r="B5" s="278" t="str">
        <f>CONCATENATE("The graph below, with respect to the practice is a simple average of the ",'⏱ Input'!Y8," and ",'⏱ Input'!Z8," and extra practice includes ",'⏱ Input'!AA8)</f>
        <v>The graph below, with respect to the practice is a simple average of the Prac. Book and GARP 10 Yr Papers and extra practice includes GARP EOC Ques.</v>
      </c>
      <c r="C5" s="278"/>
      <c r="D5" s="278"/>
      <c r="E5" s="278"/>
      <c r="F5" s="278"/>
      <c r="G5" s="278"/>
      <c r="H5" s="278"/>
      <c r="I5" s="278"/>
      <c r="J5" s="278"/>
      <c r="K5" s="278"/>
      <c r="L5" s="278"/>
      <c r="M5" s="278"/>
      <c r="N5" s="278"/>
      <c r="O5" s="48"/>
      <c r="P5" s="48"/>
      <c r="Q5" s="48"/>
      <c r="R5" s="48"/>
      <c r="S5" s="48"/>
      <c r="T5" s="48"/>
    </row>
    <row r="6" spans="2:20" s="22" customFormat="1" ht="32.450000000000003" customHeight="1">
      <c r="B6" s="278"/>
      <c r="C6" s="278"/>
      <c r="D6" s="278"/>
      <c r="E6" s="278"/>
      <c r="F6" s="278"/>
      <c r="G6" s="278"/>
      <c r="H6" s="278"/>
      <c r="I6" s="278"/>
      <c r="J6" s="278"/>
      <c r="K6" s="278"/>
      <c r="L6" s="278"/>
      <c r="M6" s="278"/>
      <c r="N6" s="278"/>
      <c r="O6" s="48"/>
      <c r="P6" s="48"/>
      <c r="Q6" s="48"/>
      <c r="R6" s="48"/>
      <c r="S6" s="48"/>
      <c r="T6" s="48"/>
    </row>
    <row r="7" spans="2:20" s="22" customFormat="1" ht="15.75" customHeight="1">
      <c r="I7" s="21"/>
      <c r="J7" s="21"/>
      <c r="K7" s="21"/>
      <c r="L7" s="20"/>
    </row>
    <row r="8" spans="2:20" s="22" customFormat="1" ht="15.75" customHeight="1">
      <c r="H8" s="22" t="s">
        <v>148</v>
      </c>
      <c r="I8" s="21"/>
      <c r="J8" s="21"/>
      <c r="K8" s="21"/>
      <c r="L8" s="20"/>
    </row>
    <row r="9" spans="2:20" s="22" customFormat="1" ht="15.75" customHeight="1">
      <c r="I9" s="21"/>
      <c r="J9" s="21"/>
      <c r="K9" s="21"/>
      <c r="L9" s="20"/>
    </row>
    <row r="10" spans="2:20" s="22" customFormat="1" ht="15.75" customHeight="1">
      <c r="I10" s="21"/>
      <c r="J10" s="21"/>
      <c r="K10" s="21"/>
      <c r="L10" s="20"/>
      <c r="P10" s="140" t="s">
        <v>81</v>
      </c>
      <c r="Q10" s="141"/>
    </row>
    <row r="11" spans="2:20" s="22" customFormat="1" ht="15.75" customHeight="1">
      <c r="I11" s="21"/>
      <c r="J11" s="21"/>
      <c r="K11" s="21"/>
      <c r="L11" s="20"/>
      <c r="P11" s="4"/>
      <c r="Q11" s="20" t="s">
        <v>13</v>
      </c>
    </row>
    <row r="12" spans="2:20" s="22" customFormat="1" ht="15.75" customHeight="1">
      <c r="I12" s="21"/>
      <c r="J12" s="21"/>
      <c r="K12" s="21"/>
      <c r="L12" s="20"/>
      <c r="P12" s="5"/>
      <c r="Q12" s="20" t="s">
        <v>12</v>
      </c>
    </row>
    <row r="13" spans="2:20" s="22" customFormat="1" ht="15.75" customHeight="1">
      <c r="I13" s="21"/>
      <c r="J13" s="21"/>
      <c r="K13" s="21"/>
      <c r="L13" s="20"/>
      <c r="P13" s="141"/>
      <c r="Q13" s="20"/>
    </row>
    <row r="14" spans="2:20" s="22" customFormat="1" ht="15.75" customHeight="1">
      <c r="I14" s="21"/>
      <c r="J14" s="21"/>
      <c r="K14" s="21"/>
      <c r="L14" s="20"/>
      <c r="P14" s="141" t="s">
        <v>18</v>
      </c>
      <c r="Q14" s="20"/>
    </row>
    <row r="15" spans="2:20" s="22" customFormat="1" ht="15.75" customHeight="1">
      <c r="I15" s="21"/>
      <c r="J15" s="21"/>
      <c r="K15" s="21"/>
      <c r="L15" s="20"/>
      <c r="P15" s="6"/>
      <c r="Q15" s="20" t="s">
        <v>13</v>
      </c>
    </row>
    <row r="16" spans="2:20" s="22" customFormat="1" ht="15.75" customHeight="1">
      <c r="I16" s="21"/>
      <c r="J16" s="21"/>
      <c r="K16" s="21"/>
      <c r="L16" s="20"/>
      <c r="P16" s="7"/>
      <c r="Q16" s="20" t="s">
        <v>12</v>
      </c>
    </row>
    <row r="17" spans="3:33" s="22" customFormat="1" ht="15.75" customHeight="1">
      <c r="I17" s="21"/>
      <c r="J17" s="21"/>
      <c r="K17" s="21"/>
      <c r="L17" s="20"/>
      <c r="P17" s="20"/>
      <c r="Q17" s="20"/>
    </row>
    <row r="18" spans="3:33" s="22" customFormat="1" ht="15.75" customHeight="1">
      <c r="I18" s="21"/>
      <c r="J18" s="21"/>
      <c r="K18" s="21"/>
      <c r="L18" s="20"/>
      <c r="P18" s="141" t="s">
        <v>24</v>
      </c>
      <c r="Q18" s="20"/>
    </row>
    <row r="19" spans="3:33" s="22" customFormat="1" ht="15.75" customHeight="1">
      <c r="I19" s="21"/>
      <c r="J19" s="21"/>
      <c r="K19" s="21"/>
      <c r="L19" s="20"/>
      <c r="P19" s="16"/>
      <c r="Q19" s="20" t="s">
        <v>13</v>
      </c>
    </row>
    <row r="20" spans="3:33" s="22" customFormat="1" ht="15.75" customHeight="1">
      <c r="I20" s="21"/>
      <c r="J20" s="21"/>
      <c r="K20" s="21"/>
      <c r="L20" s="20"/>
      <c r="P20" s="174"/>
      <c r="Q20" s="20" t="s">
        <v>12</v>
      </c>
    </row>
    <row r="21" spans="3:33" s="22" customFormat="1" ht="15.75" customHeight="1">
      <c r="I21" s="21"/>
      <c r="J21" s="21"/>
      <c r="K21" s="21"/>
      <c r="L21" s="20"/>
      <c r="P21" s="20"/>
      <c r="Q21" s="20"/>
    </row>
    <row r="22" spans="3:33" s="22" customFormat="1" ht="15.75" customHeight="1">
      <c r="I22" s="21"/>
      <c r="J22" s="21"/>
      <c r="K22" s="21"/>
      <c r="L22" s="20"/>
      <c r="P22" s="141" t="s">
        <v>97</v>
      </c>
      <c r="Q22" s="20"/>
    </row>
    <row r="23" spans="3:33" s="22" customFormat="1" ht="15.75" customHeight="1">
      <c r="I23" s="21"/>
      <c r="J23" s="21"/>
      <c r="K23" s="21"/>
      <c r="L23" s="20"/>
      <c r="P23" s="17"/>
      <c r="Q23" s="20" t="s">
        <v>13</v>
      </c>
    </row>
    <row r="24" spans="3:33" s="22" customFormat="1" ht="15.75" customHeight="1">
      <c r="I24" s="21"/>
      <c r="J24" s="21"/>
      <c r="K24" s="21"/>
      <c r="L24" s="20"/>
      <c r="P24" s="18"/>
      <c r="Q24" s="20" t="s">
        <v>12</v>
      </c>
    </row>
    <row r="25" spans="3:33" s="22" customFormat="1" ht="15.75" customHeight="1">
      <c r="I25" s="21"/>
      <c r="J25" s="21"/>
      <c r="K25" s="21"/>
      <c r="L25" s="20"/>
      <c r="P25" s="20"/>
      <c r="Q25" s="20"/>
    </row>
    <row r="26" spans="3:33" s="22" customFormat="1" ht="15.75" customHeight="1" thickBot="1">
      <c r="I26" s="21"/>
      <c r="J26" s="21"/>
      <c r="K26" s="21"/>
      <c r="L26" s="20"/>
      <c r="P26" s="20"/>
      <c r="Q26" s="269" t="s">
        <v>96</v>
      </c>
    </row>
    <row r="27" spans="3:33" s="22" customFormat="1" ht="15.75" customHeight="1" thickTop="1">
      <c r="I27" s="21"/>
      <c r="J27" s="21"/>
      <c r="K27" s="21"/>
      <c r="L27" s="20"/>
      <c r="P27" s="168"/>
      <c r="Q27" s="270"/>
    </row>
    <row r="28" spans="3:33" s="22" customFormat="1" ht="15.75" customHeight="1">
      <c r="I28" s="21"/>
      <c r="J28" s="21"/>
      <c r="K28" s="21"/>
      <c r="L28" s="20"/>
    </row>
    <row r="29" spans="3:33" s="22" customFormat="1" ht="15.75" customHeight="1">
      <c r="I29" s="21"/>
      <c r="J29" s="21"/>
      <c r="K29" s="21"/>
      <c r="L29" s="20"/>
    </row>
    <row r="30" spans="3:33" s="22" customFormat="1" ht="15.75" customHeight="1">
      <c r="I30" s="21"/>
      <c r="J30" s="21"/>
      <c r="K30" s="21"/>
      <c r="L30" s="20"/>
    </row>
    <row r="31" spans="3:33" s="22" customFormat="1" ht="23.25" customHeight="1">
      <c r="C31" s="273" t="s">
        <v>3</v>
      </c>
      <c r="D31" s="272" t="s">
        <v>81</v>
      </c>
      <c r="E31" s="272"/>
      <c r="F31" s="272"/>
      <c r="G31" s="277" t="s">
        <v>18</v>
      </c>
      <c r="H31" s="277"/>
      <c r="I31" s="173" t="s">
        <v>24</v>
      </c>
      <c r="J31" s="253" t="s">
        <v>97</v>
      </c>
      <c r="K31" s="275" t="s">
        <v>98</v>
      </c>
      <c r="L31" s="275" t="s">
        <v>10</v>
      </c>
      <c r="U31" s="21"/>
      <c r="V31" s="21"/>
      <c r="W31" s="21"/>
      <c r="X31" s="21"/>
      <c r="Y31" s="21"/>
      <c r="Z31" s="21"/>
      <c r="AA31" s="21"/>
      <c r="AB31" s="21"/>
      <c r="AC31" s="21"/>
    </row>
    <row r="32" spans="3:33" ht="46.5" customHeight="1">
      <c r="C32" s="274"/>
      <c r="D32" s="147" t="s">
        <v>35</v>
      </c>
      <c r="E32" s="147" t="s">
        <v>30</v>
      </c>
      <c r="F32" s="147" t="s">
        <v>39</v>
      </c>
      <c r="G32" s="148" t="str">
        <f>Master_Data[[#Headers],[Prac. Book]]</f>
        <v>Prac. Book</v>
      </c>
      <c r="H32" s="148" t="str">
        <f>Master_Data[[#Headers],[GARP EOC Ques.]]</f>
        <v>GARP EOC Ques.</v>
      </c>
      <c r="I32" s="149" t="str">
        <f>Master_Data[[#Headers],[Revision]]</f>
        <v>Revision</v>
      </c>
      <c r="J32" s="150" t="str">
        <f>Master_Data[[#Headers],[GARP 10 Yr Papers]]</f>
        <v>GARP 10 Yr Papers</v>
      </c>
      <c r="K32" s="276"/>
      <c r="L32" s="276"/>
      <c r="M32" s="27" t="s">
        <v>19</v>
      </c>
      <c r="N32" s="27" t="s">
        <v>20</v>
      </c>
      <c r="O32" s="27" t="s">
        <v>110</v>
      </c>
      <c r="P32" s="27" t="s">
        <v>21</v>
      </c>
      <c r="Q32" s="27" t="s">
        <v>102</v>
      </c>
      <c r="R32" s="27" t="s">
        <v>103</v>
      </c>
      <c r="S32" s="27" t="s">
        <v>104</v>
      </c>
      <c r="T32" s="27"/>
      <c r="U32" s="27"/>
      <c r="V32" s="27"/>
      <c r="W32" s="27" t="s">
        <v>14</v>
      </c>
      <c r="X32" s="27" t="s">
        <v>15</v>
      </c>
      <c r="Y32" s="27" t="s">
        <v>16</v>
      </c>
      <c r="Z32" s="27" t="s">
        <v>17</v>
      </c>
      <c r="AA32" s="27" t="s">
        <v>105</v>
      </c>
      <c r="AB32" s="27" t="s">
        <v>106</v>
      </c>
      <c r="AC32" s="27" t="s">
        <v>103</v>
      </c>
      <c r="AD32" s="27" t="s">
        <v>107</v>
      </c>
      <c r="AE32" s="27" t="s">
        <v>108</v>
      </c>
      <c r="AF32" s="27" t="s">
        <v>109</v>
      </c>
      <c r="AG32" s="27"/>
    </row>
    <row r="33" spans="2:36">
      <c r="B33" s="129">
        <v>2.5</v>
      </c>
      <c r="C33" s="151" t="s">
        <v>163</v>
      </c>
      <c r="D33" s="152">
        <f>SUMIFS(Master_Data[Duration (hh:mm)],Master_Data[Subject],'📊 Progress'!C33,Master_Data[Lectures],"d")</f>
        <v>0</v>
      </c>
      <c r="E33" s="153">
        <f>SUMIF(Master_Data[Subject],'📊 Progress'!C33,Master_Data[Duration (hh:mm)])</f>
        <v>1.4152777777777779</v>
      </c>
      <c r="F33" s="154">
        <f>SUMIFS(Master_Data[No. of Chapters],Master_Data[Subject],C33,Master_Data[Self Study],"D",Master_Data[Lectures],"D")</f>
        <v>0</v>
      </c>
      <c r="G33" s="154">
        <f>SUMIFS(Master_Data[No. of Chapters],Master_Data[Subject],'📊 Progress'!$C33,Master_Data[Prac. Book],"D")</f>
        <v>0</v>
      </c>
      <c r="H33" s="154">
        <f>SUMIFS(Master_Data[No. of Chapters],Master_Data[Subject],'📊 Progress'!$C33,Master_Data[GARP EOC Ques.],"D")</f>
        <v>0</v>
      </c>
      <c r="I33" s="154">
        <f>SUMIFS(Master_Data[No. of Chapters],Master_Data[Subject],'📊 Progress'!$C33,Master_Data[Revision],"D")</f>
        <v>0</v>
      </c>
      <c r="J33" s="154">
        <f>SUMIFS(Master_Data[No. of Chapters],Master_Data[Subject],'📊 Progress'!$C33,Master_Data[GARP 10 Yr Papers],"D")</f>
        <v>0</v>
      </c>
      <c r="K33" s="155">
        <f>SUMIF(Master_Data[Subject],'📊 Progress'!C33,Master_Data[Subjectwise weighted average])</f>
        <v>2.5897435897435894</v>
      </c>
      <c r="L33" s="156">
        <f>SUMIFS(Master_Data[No. of Chapters],Master_Data[Subject],'📊 Progress'!C33)</f>
        <v>11</v>
      </c>
      <c r="M33" s="28">
        <f>ROUND(AVERAGE(G33:H33),0)</f>
        <v>0</v>
      </c>
      <c r="N33" s="28">
        <f t="shared" ref="N33:N36" si="0">L33-M33</f>
        <v>11</v>
      </c>
      <c r="O33" s="28">
        <f>F33</f>
        <v>0</v>
      </c>
      <c r="P33" s="28">
        <f>L33-F33</f>
        <v>11</v>
      </c>
      <c r="Q33" s="28">
        <f>L33-I33</f>
        <v>11</v>
      </c>
      <c r="R33" s="28">
        <f>ROUND(AVERAGE(J33:J33),0)</f>
        <v>0</v>
      </c>
      <c r="S33" s="28">
        <f t="shared" ref="S33:S36" si="1">L33-R33</f>
        <v>11</v>
      </c>
      <c r="T33" s="27"/>
      <c r="U33" s="27"/>
      <c r="V33" s="27" t="str">
        <f>C33</f>
        <v>Foundation of Risk Mgmt</v>
      </c>
      <c r="W33" s="71">
        <f>(F33/L33)</f>
        <v>0</v>
      </c>
      <c r="X33" s="71">
        <v>1</v>
      </c>
      <c r="Y33" s="71" t="str">
        <f t="shared" ref="Y33:Y36" si="2">IF((M33/L33)=0,"",M33/L33)</f>
        <v/>
      </c>
      <c r="Z33" s="71">
        <v>1</v>
      </c>
      <c r="AA33" s="71">
        <f>I33/L33</f>
        <v>0</v>
      </c>
      <c r="AB33" s="71">
        <v>1</v>
      </c>
      <c r="AC33" s="71" t="str">
        <f t="shared" ref="AC33:AC36" si="3">IF((R33/L33)=0,"",R33/L33)</f>
        <v/>
      </c>
      <c r="AD33" s="71">
        <v>1</v>
      </c>
      <c r="AE33" s="71">
        <f t="shared" ref="AE33:AE36" si="4">K33/5</f>
        <v>0.51794871794871788</v>
      </c>
      <c r="AF33" s="71">
        <v>1</v>
      </c>
      <c r="AG33" s="27"/>
    </row>
    <row r="34" spans="2:36">
      <c r="B34" s="129">
        <v>2.5</v>
      </c>
      <c r="C34" s="151" t="s">
        <v>162</v>
      </c>
      <c r="D34" s="152">
        <f>SUMIFS(Master_Data[Duration (hh:mm)],Master_Data[Subject],'📊 Progress'!C34,Master_Data[Lectures],"d")</f>
        <v>0</v>
      </c>
      <c r="E34" s="153">
        <f>SUMIF(Master_Data[Subject],'📊 Progress'!C34,Master_Data[Duration (hh:mm)])</f>
        <v>2.2694444444444453</v>
      </c>
      <c r="F34" s="154">
        <f>SUMIFS(Master_Data[No. of Chapters],Master_Data[Subject],C34,Master_Data[Self Study],"D",Master_Data[Lectures],"D")</f>
        <v>0</v>
      </c>
      <c r="G34" s="154">
        <f>SUMIFS(Master_Data[No. of Chapters],Master_Data[Subject],'📊 Progress'!$C34,Master_Data[Prac. Book],"D")</f>
        <v>0</v>
      </c>
      <c r="H34" s="154">
        <f>SUMIFS(Master_Data[No. of Chapters],Master_Data[Subject],'📊 Progress'!$C34,Master_Data[GARP EOC Ques.],"D")</f>
        <v>0</v>
      </c>
      <c r="I34" s="154">
        <f>SUMIFS(Master_Data[No. of Chapters],Master_Data[Subject],'📊 Progress'!$C34,Master_Data[Revision],"D")</f>
        <v>0</v>
      </c>
      <c r="J34" s="154">
        <f>SUMIFS(Master_Data[No. of Chapters],Master_Data[Subject],'📊 Progress'!$C34,Master_Data[GARP 10 Yr Papers],"D")</f>
        <v>0</v>
      </c>
      <c r="K34" s="155">
        <f>SUMIF(Master_Data[Subject],'📊 Progress'!C34,Master_Data[Subjectwise weighted average])</f>
        <v>2.3589743589743586</v>
      </c>
      <c r="L34" s="156">
        <f>SUMIFS(Master_Data[No. of Chapters],Master_Data[Subject],'📊 Progress'!C34)</f>
        <v>15</v>
      </c>
      <c r="M34" s="28">
        <f>ROUND(AVERAGE(G34:H34),0)</f>
        <v>0</v>
      </c>
      <c r="N34" s="28">
        <f t="shared" si="0"/>
        <v>15</v>
      </c>
      <c r="O34" s="28">
        <f>F34</f>
        <v>0</v>
      </c>
      <c r="P34" s="28">
        <f>L34-F34</f>
        <v>15</v>
      </c>
      <c r="Q34" s="28">
        <f>L34-I34</f>
        <v>15</v>
      </c>
      <c r="R34" s="28">
        <f>ROUND(AVERAGE(J34:J34),0)</f>
        <v>0</v>
      </c>
      <c r="S34" s="28">
        <f t="shared" si="1"/>
        <v>15</v>
      </c>
      <c r="T34" s="27"/>
      <c r="U34" s="27"/>
      <c r="V34" s="27" t="str">
        <f>C34</f>
        <v>Quantitative Analysis</v>
      </c>
      <c r="W34" s="71">
        <f>(F34/L34)</f>
        <v>0</v>
      </c>
      <c r="X34" s="71">
        <v>1</v>
      </c>
      <c r="Y34" s="71" t="str">
        <f t="shared" si="2"/>
        <v/>
      </c>
      <c r="Z34" s="71">
        <v>1</v>
      </c>
      <c r="AA34" s="71">
        <f>I34/L34</f>
        <v>0</v>
      </c>
      <c r="AB34" s="71">
        <v>1</v>
      </c>
      <c r="AC34" s="71" t="str">
        <f t="shared" si="3"/>
        <v/>
      </c>
      <c r="AD34" s="71">
        <v>1</v>
      </c>
      <c r="AE34" s="71">
        <f t="shared" si="4"/>
        <v>0.47179487179487173</v>
      </c>
      <c r="AF34" s="71">
        <v>1</v>
      </c>
      <c r="AG34" s="27"/>
    </row>
    <row r="35" spans="2:36">
      <c r="B35" s="129">
        <v>2.5</v>
      </c>
      <c r="C35" s="151" t="s">
        <v>169</v>
      </c>
      <c r="D35" s="152">
        <f>SUMIFS(Master_Data[Duration (hh:mm)],Master_Data[Subject],'📊 Progress'!C35,Master_Data[Lectures],"d")</f>
        <v>0</v>
      </c>
      <c r="E35" s="153">
        <f>SUMIF(Master_Data[Subject],'📊 Progress'!C35,Master_Data[Duration (hh:mm)])</f>
        <v>2.9652777777777781</v>
      </c>
      <c r="F35" s="154">
        <f>SUMIFS(Master_Data[No. of Chapters],Master_Data[Subject],C35,Master_Data[Self Study],"D",Master_Data[Lectures],"D")</f>
        <v>0</v>
      </c>
      <c r="G35" s="154">
        <f>SUMIFS(Master_Data[No. of Chapters],Master_Data[Subject],'📊 Progress'!$C35,Master_Data[Prac. Book],"D")</f>
        <v>0</v>
      </c>
      <c r="H35" s="154">
        <f>SUMIFS(Master_Data[No. of Chapters],Master_Data[Subject],'📊 Progress'!$C35,Master_Data[GARP EOC Ques.],"D")</f>
        <v>0</v>
      </c>
      <c r="I35" s="154">
        <f>SUMIFS(Master_Data[No. of Chapters],Master_Data[Subject],'📊 Progress'!$C35,Master_Data[Revision],"D")</f>
        <v>0</v>
      </c>
      <c r="J35" s="154">
        <f>SUMIFS(Master_Data[No. of Chapters],Master_Data[Subject],'📊 Progress'!$C35,Master_Data[GARP 10 Yr Papers],"D")</f>
        <v>0</v>
      </c>
      <c r="K35" s="155">
        <f>SUMIF(Master_Data[Subject],'📊 Progress'!C35,Master_Data[Subjectwise weighted average])</f>
        <v>2.5750000000000002</v>
      </c>
      <c r="L35" s="156">
        <f>SUMIFS(Master_Data[No. of Chapters],Master_Data[Subject],'📊 Progress'!C35)</f>
        <v>20</v>
      </c>
      <c r="M35" s="28">
        <f>ROUND(AVERAGE(G35:H35),0)</f>
        <v>0</v>
      </c>
      <c r="N35" s="28">
        <f t="shared" si="0"/>
        <v>20</v>
      </c>
      <c r="O35" s="28">
        <f>F35</f>
        <v>0</v>
      </c>
      <c r="P35" s="28">
        <f>L35-F35</f>
        <v>20</v>
      </c>
      <c r="Q35" s="28">
        <f>L35-I35</f>
        <v>20</v>
      </c>
      <c r="R35" s="28">
        <f>ROUND(AVERAGE(J35:J35),0)</f>
        <v>0</v>
      </c>
      <c r="S35" s="28">
        <f t="shared" si="1"/>
        <v>20</v>
      </c>
      <c r="T35" s="27"/>
      <c r="U35" s="27"/>
      <c r="V35" s="27" t="str">
        <f>C35</f>
        <v>Financial Mkts &amp; Products</v>
      </c>
      <c r="W35" s="71">
        <f>(F35/L35)</f>
        <v>0</v>
      </c>
      <c r="X35" s="71">
        <v>1</v>
      </c>
      <c r="Y35" s="71" t="str">
        <f t="shared" si="2"/>
        <v/>
      </c>
      <c r="Z35" s="71">
        <v>1</v>
      </c>
      <c r="AA35" s="71">
        <f>I35/L35</f>
        <v>0</v>
      </c>
      <c r="AB35" s="71">
        <v>1</v>
      </c>
      <c r="AC35" s="71" t="str">
        <f t="shared" si="3"/>
        <v/>
      </c>
      <c r="AD35" s="71">
        <v>1</v>
      </c>
      <c r="AE35" s="71">
        <f t="shared" si="4"/>
        <v>0.51500000000000001</v>
      </c>
      <c r="AF35" s="71">
        <v>1</v>
      </c>
      <c r="AG35" s="27"/>
    </row>
    <row r="36" spans="2:36">
      <c r="B36" s="129">
        <v>2.5</v>
      </c>
      <c r="C36" s="151" t="s">
        <v>185</v>
      </c>
      <c r="D36" s="152">
        <f>SUMIFS(Master_Data[Duration (hh:mm)],Master_Data[Subject],'📊 Progress'!C36,Master_Data[Lectures],"d")</f>
        <v>0</v>
      </c>
      <c r="E36" s="153">
        <f>SUMIF(Master_Data[Subject],'📊 Progress'!C36,Master_Data[Duration (hh:mm)])</f>
        <v>2.3486111111111105</v>
      </c>
      <c r="F36" s="154">
        <f>SUMIFS(Master_Data[No. of Chapters],Master_Data[Subject],C36,Master_Data[Self Study],"D",Master_Data[Lectures],"D")</f>
        <v>0</v>
      </c>
      <c r="G36" s="154">
        <f>SUMIFS(Master_Data[No. of Chapters],Master_Data[Subject],'📊 Progress'!$C36,Master_Data[Prac. Book],"D")</f>
        <v>0</v>
      </c>
      <c r="H36" s="154">
        <f>SUMIFS(Master_Data[No. of Chapters],Master_Data[Subject],'📊 Progress'!$C36,Master_Data[GARP EOC Ques.],"D")</f>
        <v>0</v>
      </c>
      <c r="I36" s="154">
        <f>SUMIFS(Master_Data[No. of Chapters],Master_Data[Subject],'📊 Progress'!$C36,Master_Data[Revision],"D")</f>
        <v>0</v>
      </c>
      <c r="J36" s="154">
        <f>SUMIFS(Master_Data[No. of Chapters],Master_Data[Subject],'📊 Progress'!$C36,Master_Data[GARP 10 Yr Papers],"D")</f>
        <v>0</v>
      </c>
      <c r="K36" s="155">
        <f>SUMIF(Master_Data[Subject],'📊 Progress'!C36,Master_Data[Subjectwise weighted average])</f>
        <v>2.375</v>
      </c>
      <c r="L36" s="156">
        <f>SUMIFS(Master_Data[No. of Chapters],Master_Data[Subject],'📊 Progress'!C36)</f>
        <v>17</v>
      </c>
      <c r="M36" s="28">
        <f>ROUND(AVERAGE(G36:H36),0)</f>
        <v>0</v>
      </c>
      <c r="N36" s="28">
        <f t="shared" si="0"/>
        <v>17</v>
      </c>
      <c r="O36" s="28">
        <f>F36</f>
        <v>0</v>
      </c>
      <c r="P36" s="28">
        <f>L36-F36</f>
        <v>17</v>
      </c>
      <c r="Q36" s="28">
        <f>L36-I36</f>
        <v>17</v>
      </c>
      <c r="R36" s="28">
        <f>ROUND(AVERAGE(J36:J36),0)</f>
        <v>0</v>
      </c>
      <c r="S36" s="28">
        <f t="shared" si="1"/>
        <v>17</v>
      </c>
      <c r="T36" s="27"/>
      <c r="U36" s="27"/>
      <c r="V36" s="27" t="str">
        <f>C36</f>
        <v>Valuation &amp; Risk Models</v>
      </c>
      <c r="W36" s="71">
        <f>(F36/L36)</f>
        <v>0</v>
      </c>
      <c r="X36" s="71">
        <v>1</v>
      </c>
      <c r="Y36" s="71" t="str">
        <f t="shared" si="2"/>
        <v/>
      </c>
      <c r="Z36" s="71">
        <v>1</v>
      </c>
      <c r="AA36" s="71">
        <f>I36/L36</f>
        <v>0</v>
      </c>
      <c r="AB36" s="71">
        <v>1</v>
      </c>
      <c r="AC36" s="71" t="str">
        <f t="shared" si="3"/>
        <v/>
      </c>
      <c r="AD36" s="71">
        <v>1</v>
      </c>
      <c r="AE36" s="71">
        <f t="shared" si="4"/>
        <v>0.47499999999999998</v>
      </c>
      <c r="AF36" s="71">
        <v>1</v>
      </c>
      <c r="AG36" s="27"/>
    </row>
    <row r="37" spans="2:36" s="23" customFormat="1" ht="18.75">
      <c r="C37" s="157" t="s">
        <v>7</v>
      </c>
      <c r="D37" s="158">
        <f t="shared" ref="D37:J37" si="5">SUM(D33:D36)</f>
        <v>0</v>
      </c>
      <c r="E37" s="158">
        <f t="shared" si="5"/>
        <v>8.9986111111111118</v>
      </c>
      <c r="F37" s="159">
        <f t="shared" si="5"/>
        <v>0</v>
      </c>
      <c r="G37" s="159">
        <f t="shared" si="5"/>
        <v>0</v>
      </c>
      <c r="H37" s="159">
        <f t="shared" si="5"/>
        <v>0</v>
      </c>
      <c r="I37" s="159">
        <f t="shared" si="5"/>
        <v>0</v>
      </c>
      <c r="J37" s="159">
        <f t="shared" si="5"/>
        <v>0</v>
      </c>
      <c r="K37" s="160">
        <f>'⏱ Input'!AB4</f>
        <v>5</v>
      </c>
      <c r="L37" s="159">
        <f>SUM(L33:L36)</f>
        <v>63</v>
      </c>
      <c r="M37" s="70"/>
      <c r="N37" s="25"/>
      <c r="O37" s="25"/>
      <c r="P37" s="167">
        <f>SUM(P33:P36)</f>
        <v>63</v>
      </c>
      <c r="Q37" s="29"/>
      <c r="R37" s="29"/>
      <c r="S37" s="25"/>
      <c r="T37" s="25"/>
      <c r="U37" s="26"/>
      <c r="V37" s="26"/>
      <c r="W37" s="26"/>
      <c r="X37" s="26"/>
      <c r="Y37" s="26"/>
      <c r="Z37" s="26"/>
      <c r="AA37" s="26"/>
      <c r="AB37" s="26"/>
      <c r="AC37" s="26"/>
      <c r="AD37" s="26"/>
      <c r="AE37" s="25"/>
      <c r="AF37" s="25"/>
    </row>
    <row r="38" spans="2:36" ht="15" customHeight="1">
      <c r="C38" s="22"/>
      <c r="D38" s="22"/>
      <c r="E38" s="22"/>
      <c r="F38" s="22"/>
      <c r="G38" s="31"/>
      <c r="H38" s="22"/>
      <c r="I38" s="31"/>
      <c r="J38" s="31"/>
      <c r="K38" s="31"/>
      <c r="L38" s="31"/>
      <c r="M38" s="30"/>
      <c r="N38" s="30"/>
      <c r="O38" s="30"/>
      <c r="P38" s="30"/>
      <c r="Q38" s="27"/>
      <c r="R38" s="27"/>
      <c r="S38" s="27"/>
      <c r="T38" s="27"/>
      <c r="U38" s="24"/>
      <c r="V38" s="24"/>
      <c r="W38" s="24"/>
      <c r="X38" s="24"/>
      <c r="Y38" s="24"/>
      <c r="Z38" s="24"/>
      <c r="AA38" s="24"/>
      <c r="AB38" s="24"/>
      <c r="AC38" s="24"/>
      <c r="AD38" s="24"/>
      <c r="AE38" s="22"/>
      <c r="AF38" s="22"/>
      <c r="AG38" s="22"/>
      <c r="AH38" s="22"/>
      <c r="AI38" s="22"/>
      <c r="AJ38" s="22"/>
    </row>
    <row r="39" spans="2:36">
      <c r="B39" s="22"/>
      <c r="C39" s="22"/>
      <c r="D39" s="22"/>
      <c r="E39" s="22"/>
      <c r="F39" s="22"/>
      <c r="G39" s="22"/>
      <c r="H39" s="31"/>
      <c r="U39" s="21"/>
      <c r="V39" s="21"/>
      <c r="W39" s="21"/>
      <c r="X39" s="21"/>
      <c r="Y39" s="21"/>
      <c r="Z39" s="21"/>
      <c r="AA39" s="21"/>
      <c r="AB39" s="21"/>
      <c r="AC39" s="21"/>
      <c r="AD39" s="22"/>
      <c r="AE39" s="22"/>
      <c r="AF39" s="22"/>
      <c r="AG39" s="22"/>
      <c r="AH39" s="22"/>
      <c r="AI39" s="22"/>
      <c r="AJ39" s="22"/>
    </row>
    <row r="40" spans="2:36">
      <c r="B40" s="22"/>
      <c r="C40" s="22"/>
      <c r="D40" s="22"/>
      <c r="E40" s="22"/>
      <c r="F40" s="22"/>
      <c r="G40" s="22"/>
      <c r="H40" s="22"/>
      <c r="U40" s="21"/>
      <c r="V40" s="21"/>
      <c r="W40" s="21"/>
      <c r="X40" s="21"/>
      <c r="Y40" s="21"/>
      <c r="Z40" s="21"/>
      <c r="AA40" s="21"/>
      <c r="AB40" s="21"/>
      <c r="AC40" s="21"/>
      <c r="AD40" s="22"/>
      <c r="AE40" s="22"/>
      <c r="AF40" s="22"/>
      <c r="AG40" s="22"/>
      <c r="AH40" s="22"/>
      <c r="AI40" s="22"/>
      <c r="AJ40" s="22"/>
    </row>
    <row r="41" spans="2:36">
      <c r="B41" s="22"/>
      <c r="C41" s="22"/>
      <c r="D41" s="22"/>
      <c r="E41" s="22"/>
      <c r="F41" s="22"/>
      <c r="H41" s="22"/>
      <c r="U41" s="21"/>
      <c r="V41" s="21"/>
      <c r="W41" s="21"/>
      <c r="X41" s="21"/>
      <c r="Y41" s="21"/>
      <c r="Z41" s="21"/>
      <c r="AA41" s="21"/>
      <c r="AB41" s="21"/>
      <c r="AC41" s="21"/>
      <c r="AD41" s="22"/>
      <c r="AE41" s="22"/>
      <c r="AF41" s="22"/>
      <c r="AG41" s="22"/>
      <c r="AH41" s="22"/>
      <c r="AI41" s="22"/>
      <c r="AJ41" s="22"/>
    </row>
    <row r="42" spans="2:36">
      <c r="C42" s="22"/>
      <c r="D42" s="22"/>
      <c r="E42" s="22"/>
      <c r="F42" s="22"/>
      <c r="G42" s="22"/>
      <c r="I42" s="20"/>
      <c r="J42" s="20"/>
      <c r="K42" s="20"/>
      <c r="L42" s="22"/>
      <c r="U42" s="21"/>
      <c r="V42" s="21"/>
      <c r="W42" s="21"/>
      <c r="X42" s="21"/>
      <c r="Y42" s="21"/>
      <c r="Z42" s="21"/>
      <c r="AA42" s="21"/>
      <c r="AB42" s="21"/>
      <c r="AC42" s="21"/>
      <c r="AD42" s="22"/>
      <c r="AE42" s="22"/>
      <c r="AF42" s="22"/>
      <c r="AG42" s="22"/>
      <c r="AH42" s="22"/>
      <c r="AI42" s="22"/>
      <c r="AJ42" s="22"/>
    </row>
    <row r="43" spans="2:36">
      <c r="C43" s="22"/>
      <c r="D43" s="22"/>
      <c r="E43" s="22"/>
      <c r="F43" s="22"/>
      <c r="G43" s="22"/>
      <c r="H43" s="22"/>
      <c r="L43" s="22"/>
      <c r="U43" s="21"/>
      <c r="V43" s="21"/>
      <c r="W43" s="21"/>
      <c r="X43" s="21"/>
      <c r="Y43" s="21"/>
      <c r="Z43" s="21"/>
      <c r="AA43" s="21"/>
      <c r="AB43" s="21"/>
      <c r="AC43" s="21"/>
      <c r="AD43" s="22"/>
      <c r="AE43" s="22"/>
      <c r="AF43" s="22"/>
      <c r="AG43" s="22"/>
      <c r="AH43" s="22"/>
      <c r="AI43" s="22"/>
      <c r="AJ43" s="22"/>
    </row>
    <row r="44" spans="2:36">
      <c r="C44" s="22"/>
      <c r="D44" s="22"/>
      <c r="E44" s="22"/>
      <c r="F44" s="22"/>
      <c r="G44" s="22"/>
      <c r="H44" s="22"/>
      <c r="L44" s="22"/>
      <c r="U44" s="21"/>
      <c r="V44" s="21"/>
      <c r="W44" s="21"/>
      <c r="X44" s="21"/>
      <c r="Y44" s="21"/>
      <c r="Z44" s="21"/>
      <c r="AA44" s="21"/>
      <c r="AB44" s="21"/>
      <c r="AC44" s="21"/>
      <c r="AD44" s="22"/>
      <c r="AE44" s="22"/>
      <c r="AF44" s="22"/>
      <c r="AG44" s="22"/>
      <c r="AH44" s="22"/>
      <c r="AI44" s="22"/>
      <c r="AJ44" s="22"/>
    </row>
    <row r="45" spans="2:36">
      <c r="C45" s="22"/>
      <c r="D45" s="22"/>
      <c r="E45" s="22"/>
      <c r="F45" s="22"/>
      <c r="G45" s="22"/>
      <c r="H45" s="22"/>
      <c r="L45" s="22"/>
      <c r="U45" s="21"/>
      <c r="V45" s="21"/>
      <c r="W45" s="21"/>
      <c r="X45" s="21"/>
      <c r="Y45" s="21"/>
      <c r="Z45" s="21"/>
      <c r="AA45" s="21"/>
      <c r="AB45" s="21"/>
      <c r="AC45" s="21"/>
      <c r="AD45" s="22"/>
      <c r="AE45" s="22"/>
      <c r="AF45" s="22"/>
      <c r="AG45" s="22"/>
      <c r="AH45" s="22"/>
      <c r="AI45" s="22"/>
      <c r="AJ45" s="22"/>
    </row>
    <row r="46" spans="2:36">
      <c r="C46" s="22"/>
      <c r="D46" s="22"/>
      <c r="E46" s="22"/>
      <c r="F46" s="22"/>
      <c r="G46" s="22"/>
      <c r="H46" s="22"/>
      <c r="L46" s="22"/>
      <c r="U46" s="21"/>
      <c r="V46" s="21"/>
      <c r="W46" s="21"/>
      <c r="X46" s="21"/>
      <c r="Y46" s="21"/>
      <c r="Z46" s="21"/>
      <c r="AA46" s="21"/>
      <c r="AB46" s="21"/>
      <c r="AC46" s="21"/>
      <c r="AD46" s="22"/>
      <c r="AE46" s="22"/>
      <c r="AF46" s="22"/>
      <c r="AG46" s="22"/>
      <c r="AH46" s="22"/>
      <c r="AI46" s="22"/>
      <c r="AJ46" s="22"/>
    </row>
    <row r="47" spans="2:36">
      <c r="C47" s="22"/>
      <c r="D47" s="22"/>
      <c r="E47" s="22"/>
      <c r="F47" s="22"/>
      <c r="G47" s="22"/>
      <c r="H47" s="22"/>
      <c r="L47" s="22"/>
      <c r="U47" s="21"/>
      <c r="V47" s="21"/>
      <c r="W47" s="21"/>
      <c r="X47" s="21"/>
      <c r="Y47" s="21"/>
      <c r="Z47" s="21"/>
      <c r="AA47" s="21"/>
      <c r="AB47" s="21"/>
      <c r="AC47" s="21"/>
      <c r="AD47" s="22"/>
      <c r="AE47" s="22"/>
      <c r="AF47" s="22"/>
      <c r="AG47" s="22"/>
      <c r="AH47" s="22"/>
      <c r="AI47" s="22"/>
      <c r="AJ47" s="22"/>
    </row>
    <row r="48" spans="2:36">
      <c r="C48" s="22"/>
      <c r="D48" s="22"/>
      <c r="E48" s="22"/>
      <c r="F48" s="22"/>
      <c r="G48" s="22"/>
      <c r="H48" s="22"/>
      <c r="L48" s="22"/>
      <c r="U48" s="21"/>
      <c r="V48" s="21"/>
      <c r="W48" s="21"/>
      <c r="X48" s="21"/>
      <c r="Y48" s="21"/>
      <c r="Z48" s="21"/>
      <c r="AA48" s="21"/>
      <c r="AB48" s="21"/>
      <c r="AC48" s="21"/>
      <c r="AD48" s="22"/>
      <c r="AE48" s="22"/>
      <c r="AF48" s="22"/>
      <c r="AG48" s="22"/>
      <c r="AH48" s="22"/>
      <c r="AI48" s="22"/>
      <c r="AJ48" s="22"/>
    </row>
    <row r="49" spans="2:36">
      <c r="C49" s="22"/>
      <c r="D49" s="22"/>
      <c r="E49" s="22"/>
      <c r="F49" s="22"/>
      <c r="G49" s="22"/>
      <c r="H49" s="22"/>
      <c r="L49" s="22"/>
      <c r="U49" s="21"/>
      <c r="V49" s="21"/>
      <c r="W49" s="21"/>
      <c r="X49" s="21"/>
      <c r="Y49" s="21"/>
      <c r="Z49" s="21"/>
      <c r="AA49" s="21"/>
      <c r="AB49" s="21"/>
      <c r="AC49" s="21"/>
      <c r="AD49" s="22"/>
      <c r="AE49" s="22"/>
      <c r="AF49" s="22"/>
      <c r="AG49" s="22"/>
      <c r="AH49" s="22"/>
      <c r="AI49" s="22"/>
      <c r="AJ49" s="22"/>
    </row>
    <row r="50" spans="2:36">
      <c r="C50" s="22"/>
      <c r="D50" s="22"/>
      <c r="E50" s="22"/>
      <c r="F50" s="22"/>
      <c r="G50" s="22"/>
      <c r="H50" s="22"/>
      <c r="L50" s="22"/>
      <c r="U50" s="21"/>
      <c r="V50" s="21"/>
      <c r="W50" s="21"/>
      <c r="X50" s="21"/>
      <c r="Y50" s="21"/>
      <c r="Z50" s="21"/>
      <c r="AA50" s="21"/>
      <c r="AB50" s="21"/>
      <c r="AC50" s="21"/>
      <c r="AD50" s="22"/>
      <c r="AE50" s="22"/>
      <c r="AF50" s="22"/>
      <c r="AG50" s="22"/>
      <c r="AH50" s="22"/>
      <c r="AI50" s="22"/>
      <c r="AJ50" s="22"/>
    </row>
    <row r="51" spans="2:36">
      <c r="C51" s="22"/>
      <c r="D51" s="22"/>
      <c r="E51" s="22"/>
      <c r="F51" s="22"/>
      <c r="G51" s="22"/>
      <c r="H51" s="22"/>
      <c r="L51" s="22"/>
      <c r="U51" s="21"/>
      <c r="V51" s="21"/>
      <c r="W51" s="21"/>
      <c r="X51" s="21"/>
      <c r="Y51" s="21"/>
      <c r="Z51" s="21"/>
      <c r="AA51" s="21"/>
      <c r="AB51" s="21"/>
      <c r="AC51" s="21"/>
      <c r="AD51" s="22"/>
      <c r="AE51" s="22"/>
      <c r="AF51" s="22"/>
    </row>
    <row r="52" spans="2:36">
      <c r="C52" s="22"/>
      <c r="D52" s="22"/>
      <c r="E52" s="22"/>
      <c r="F52" s="22"/>
      <c r="G52" s="22"/>
      <c r="H52" s="22"/>
      <c r="L52" s="22"/>
      <c r="U52" s="21"/>
      <c r="V52" s="21"/>
      <c r="W52" s="21"/>
      <c r="X52" s="21"/>
      <c r="Y52" s="21"/>
      <c r="Z52" s="21"/>
      <c r="AA52" s="21"/>
      <c r="AB52" s="21"/>
      <c r="AC52" s="21"/>
      <c r="AD52" s="22"/>
      <c r="AE52" s="22"/>
      <c r="AF52" s="22"/>
    </row>
    <row r="53" spans="2:36">
      <c r="C53" s="22"/>
      <c r="D53" s="22"/>
      <c r="E53" s="22"/>
      <c r="F53" s="22"/>
      <c r="G53" s="22"/>
      <c r="H53" s="22"/>
      <c r="L53" s="22"/>
      <c r="U53" s="21"/>
      <c r="V53" s="21"/>
      <c r="W53" s="21"/>
      <c r="X53" s="21"/>
      <c r="Y53" s="21"/>
      <c r="Z53" s="21"/>
      <c r="AA53" s="21"/>
      <c r="AB53" s="21"/>
      <c r="AC53" s="21"/>
      <c r="AD53" s="22"/>
      <c r="AE53" s="22"/>
      <c r="AF53" s="22"/>
    </row>
    <row r="54" spans="2:36">
      <c r="B54" s="22"/>
      <c r="C54" s="22"/>
      <c r="D54" s="22"/>
      <c r="E54" s="22"/>
      <c r="F54" s="22"/>
      <c r="G54" s="22"/>
      <c r="I54" s="20"/>
      <c r="J54" s="20"/>
      <c r="K54" s="20"/>
      <c r="U54" s="21"/>
      <c r="V54" s="21"/>
      <c r="W54" s="21"/>
      <c r="X54" s="21"/>
      <c r="Y54" s="21"/>
      <c r="Z54" s="21"/>
      <c r="AA54" s="21"/>
      <c r="AB54" s="21"/>
      <c r="AC54" s="21"/>
      <c r="AD54" s="22"/>
      <c r="AE54" s="22"/>
      <c r="AF54" s="22"/>
    </row>
    <row r="55" spans="2:36">
      <c r="B55" s="22"/>
      <c r="C55" s="22"/>
      <c r="D55" s="22"/>
      <c r="E55" s="22"/>
      <c r="F55" s="22"/>
      <c r="G55" s="22"/>
      <c r="I55" s="20"/>
      <c r="J55" s="20"/>
      <c r="K55" s="20"/>
      <c r="U55" s="21"/>
      <c r="V55" s="21"/>
      <c r="W55" s="21"/>
      <c r="X55" s="21"/>
      <c r="Y55" s="21"/>
      <c r="Z55" s="21"/>
      <c r="AA55" s="21"/>
      <c r="AB55" s="21"/>
      <c r="AC55" s="21"/>
      <c r="AD55" s="22"/>
      <c r="AE55" s="22"/>
      <c r="AF55" s="22"/>
    </row>
    <row r="56" spans="2:36">
      <c r="C56" s="22"/>
      <c r="D56" s="22"/>
      <c r="E56" s="22"/>
      <c r="F56" s="22"/>
      <c r="G56" s="22"/>
      <c r="H56" s="22"/>
      <c r="I56" s="20"/>
      <c r="J56" s="20"/>
      <c r="K56" s="20"/>
      <c r="U56" s="21"/>
      <c r="V56" s="21"/>
      <c r="W56" s="21"/>
      <c r="X56" s="21"/>
      <c r="Y56" s="21"/>
      <c r="Z56" s="21"/>
      <c r="AA56" s="21"/>
      <c r="AB56" s="21"/>
      <c r="AC56" s="21"/>
      <c r="AD56" s="22"/>
      <c r="AE56" s="22"/>
      <c r="AF56" s="22"/>
    </row>
    <row r="57" spans="2:36">
      <c r="C57" s="22"/>
      <c r="D57" s="22"/>
      <c r="E57" s="22"/>
      <c r="F57" s="22"/>
      <c r="G57" s="22"/>
      <c r="H57" s="22"/>
      <c r="L57" s="22"/>
      <c r="U57" s="21"/>
      <c r="V57" s="21"/>
      <c r="W57" s="21"/>
      <c r="X57" s="21"/>
      <c r="Y57" s="21"/>
      <c r="Z57" s="21"/>
      <c r="AA57" s="21"/>
      <c r="AB57" s="21"/>
      <c r="AC57" s="21"/>
      <c r="AD57" s="22"/>
      <c r="AE57" s="22"/>
      <c r="AF57" s="22"/>
    </row>
    <row r="58" spans="2:36">
      <c r="C58" s="22"/>
      <c r="D58" s="22"/>
      <c r="E58" s="22"/>
      <c r="F58" s="22"/>
      <c r="G58" s="22"/>
      <c r="H58" s="22"/>
      <c r="L58" s="22"/>
      <c r="AA58" s="22"/>
      <c r="AB58" s="22"/>
      <c r="AC58" s="22"/>
      <c r="AD58" s="22"/>
      <c r="AE58" s="22"/>
      <c r="AF58" s="22"/>
    </row>
    <row r="59" spans="2:36">
      <c r="C59" s="22"/>
      <c r="D59" s="22"/>
      <c r="E59" s="22"/>
      <c r="F59" s="22"/>
      <c r="G59" s="22"/>
      <c r="H59" s="22"/>
      <c r="L59" s="22"/>
      <c r="AA59" s="22"/>
      <c r="AB59" s="22"/>
      <c r="AC59" s="22"/>
      <c r="AD59" s="22"/>
      <c r="AE59" s="22"/>
      <c r="AF59" s="22"/>
    </row>
    <row r="60" spans="2:36">
      <c r="C60" s="22"/>
      <c r="D60" s="22"/>
      <c r="E60" s="22"/>
      <c r="F60" s="22"/>
      <c r="G60" s="22"/>
      <c r="H60" s="22"/>
      <c r="L60" s="22"/>
      <c r="AA60" s="22"/>
      <c r="AB60" s="22"/>
      <c r="AC60" s="22"/>
      <c r="AD60" s="22"/>
      <c r="AE60" s="22"/>
      <c r="AF60" s="22"/>
    </row>
    <row r="61" spans="2:36">
      <c r="C61" s="22"/>
      <c r="D61" s="22"/>
      <c r="E61" s="22"/>
      <c r="F61" s="22"/>
      <c r="G61" s="22"/>
      <c r="H61" s="22"/>
      <c r="L61" s="22"/>
      <c r="AA61" s="22"/>
      <c r="AB61" s="22"/>
      <c r="AC61" s="22"/>
      <c r="AD61" s="22"/>
      <c r="AE61" s="22"/>
      <c r="AF61" s="22"/>
    </row>
    <row r="62" spans="2:36">
      <c r="C62" s="22"/>
      <c r="D62" s="22"/>
      <c r="E62" s="22"/>
      <c r="F62" s="22"/>
      <c r="G62" s="22"/>
      <c r="H62" s="22"/>
      <c r="L62" s="22"/>
      <c r="AA62" s="22"/>
      <c r="AB62" s="22"/>
      <c r="AC62" s="22"/>
      <c r="AD62" s="22"/>
      <c r="AE62" s="22"/>
      <c r="AF62" s="22"/>
    </row>
    <row r="63" spans="2:36">
      <c r="C63" s="22"/>
      <c r="D63" s="22"/>
      <c r="E63" s="22"/>
      <c r="F63" s="22"/>
      <c r="G63" s="22"/>
      <c r="H63" s="22"/>
      <c r="L63" s="22"/>
      <c r="AA63" s="22"/>
      <c r="AB63" s="22"/>
      <c r="AC63" s="22"/>
      <c r="AD63" s="22"/>
      <c r="AE63" s="22"/>
      <c r="AF63" s="22"/>
    </row>
    <row r="64" spans="2:36">
      <c r="C64" s="22"/>
      <c r="D64" s="22"/>
      <c r="E64" s="22"/>
      <c r="F64" s="22"/>
      <c r="G64" s="22"/>
      <c r="H64" s="22"/>
      <c r="L64" s="22"/>
      <c r="AA64" s="22"/>
      <c r="AB64" s="22"/>
      <c r="AC64" s="22"/>
      <c r="AD64" s="22"/>
      <c r="AE64" s="22"/>
      <c r="AF64" s="22"/>
    </row>
    <row r="65" spans="3:32">
      <c r="C65" s="22"/>
      <c r="D65" s="22"/>
      <c r="E65" s="22"/>
      <c r="F65" s="22"/>
      <c r="G65" s="22"/>
      <c r="H65" s="22"/>
      <c r="L65" s="22"/>
      <c r="AA65" s="22"/>
      <c r="AB65" s="22"/>
      <c r="AC65" s="22"/>
      <c r="AD65" s="22"/>
      <c r="AE65" s="22"/>
      <c r="AF65" s="22"/>
    </row>
    <row r="66" spans="3:32">
      <c r="C66" s="22"/>
      <c r="D66" s="22"/>
      <c r="E66" s="22"/>
      <c r="F66" s="22"/>
      <c r="G66" s="22"/>
      <c r="H66" s="22"/>
      <c r="L66" s="22"/>
      <c r="AA66" s="22"/>
      <c r="AB66" s="22"/>
      <c r="AC66" s="22"/>
      <c r="AD66" s="22"/>
      <c r="AE66" s="22"/>
      <c r="AF66" s="22"/>
    </row>
    <row r="67" spans="3:32">
      <c r="C67" s="22"/>
      <c r="D67" s="22"/>
      <c r="E67" s="22"/>
      <c r="F67" s="22"/>
      <c r="G67" s="22"/>
      <c r="H67" s="22"/>
      <c r="L67" s="22"/>
      <c r="AA67" s="22"/>
      <c r="AB67" s="22"/>
      <c r="AC67" s="22"/>
      <c r="AD67" s="22"/>
      <c r="AE67" s="22"/>
      <c r="AF67" s="22"/>
    </row>
    <row r="68" spans="3:32">
      <c r="C68" s="22"/>
      <c r="D68" s="22"/>
      <c r="E68" s="22"/>
      <c r="F68" s="22"/>
      <c r="G68" s="22"/>
      <c r="H68" s="22"/>
      <c r="L68" s="22"/>
      <c r="AA68" s="22"/>
      <c r="AB68" s="22"/>
      <c r="AC68" s="22"/>
      <c r="AD68" s="22"/>
      <c r="AE68" s="22"/>
      <c r="AF68" s="22"/>
    </row>
    <row r="69" spans="3:32">
      <c r="C69" s="22"/>
      <c r="D69" s="22"/>
      <c r="E69" s="22"/>
      <c r="F69" s="22"/>
      <c r="G69" s="22"/>
      <c r="H69" s="22"/>
      <c r="L69" s="22"/>
      <c r="AA69" s="22"/>
      <c r="AB69" s="22"/>
      <c r="AC69" s="22"/>
      <c r="AD69" s="22"/>
      <c r="AE69" s="22"/>
      <c r="AF69" s="22"/>
    </row>
    <row r="70" spans="3:32">
      <c r="C70" s="22"/>
      <c r="D70" s="22"/>
      <c r="E70" s="22"/>
      <c r="F70" s="22"/>
      <c r="H70" s="22"/>
      <c r="L70" s="22"/>
      <c r="AA70" s="22"/>
      <c r="AB70" s="22"/>
      <c r="AC70" s="22"/>
      <c r="AD70" s="22"/>
      <c r="AE70" s="22"/>
      <c r="AF70" s="22"/>
    </row>
    <row r="71" spans="3:32">
      <c r="C71" s="22"/>
      <c r="D71" s="22"/>
      <c r="E71" s="22"/>
      <c r="F71" s="22"/>
      <c r="L71" s="22"/>
      <c r="AA71" s="22"/>
      <c r="AB71" s="22"/>
      <c r="AC71" s="22"/>
      <c r="AD71" s="22"/>
      <c r="AE71" s="22"/>
      <c r="AF71" s="22"/>
    </row>
    <row r="72" spans="3:32">
      <c r="C72" s="22"/>
      <c r="D72" s="22"/>
      <c r="E72" s="22"/>
      <c r="F72" s="22"/>
      <c r="L72" s="22"/>
      <c r="AA72" s="22"/>
      <c r="AB72" s="22"/>
      <c r="AC72" s="22"/>
      <c r="AD72" s="22"/>
      <c r="AE72" s="22"/>
      <c r="AF72" s="22"/>
    </row>
    <row r="73" spans="3:32">
      <c r="C73" s="22"/>
      <c r="D73" s="22"/>
      <c r="E73" s="22"/>
      <c r="F73" s="22"/>
      <c r="AA73" s="22"/>
      <c r="AB73" s="22"/>
      <c r="AC73" s="22"/>
      <c r="AD73" s="22"/>
      <c r="AE73" s="22"/>
      <c r="AF73" s="22"/>
    </row>
    <row r="74" spans="3:32">
      <c r="C74" s="22"/>
      <c r="D74" s="22"/>
      <c r="E74" s="22"/>
      <c r="F74" s="22"/>
      <c r="AA74" s="22"/>
      <c r="AB74" s="22"/>
      <c r="AC74" s="22"/>
      <c r="AD74" s="22"/>
      <c r="AE74" s="22"/>
      <c r="AF74" s="22"/>
    </row>
    <row r="75" spans="3:32">
      <c r="C75" s="22"/>
      <c r="D75" s="22"/>
      <c r="E75" s="22"/>
      <c r="F75" s="22"/>
      <c r="AA75" s="22"/>
      <c r="AB75" s="22"/>
      <c r="AC75" s="22"/>
      <c r="AD75" s="22"/>
      <c r="AE75" s="22"/>
      <c r="AF75" s="22"/>
    </row>
    <row r="76" spans="3:32">
      <c r="C76" s="22"/>
      <c r="D76" s="22"/>
      <c r="E76" s="22"/>
      <c r="F76" s="22"/>
      <c r="AA76" s="22"/>
      <c r="AB76" s="22"/>
      <c r="AC76" s="22"/>
      <c r="AD76" s="22"/>
      <c r="AE76" s="22"/>
      <c r="AF76" s="22"/>
    </row>
    <row r="77" spans="3:32">
      <c r="C77" s="22"/>
      <c r="D77" s="22"/>
      <c r="E77" s="22"/>
      <c r="F77" s="22"/>
    </row>
    <row r="78" spans="3:32">
      <c r="C78" s="22"/>
      <c r="D78" s="22"/>
      <c r="E78" s="22"/>
      <c r="F78" s="22"/>
    </row>
    <row r="79" spans="3:32">
      <c r="C79" s="22"/>
      <c r="D79" s="22"/>
      <c r="E79" s="22"/>
      <c r="F79" s="22"/>
    </row>
    <row r="80" spans="3:32">
      <c r="C80" s="22"/>
      <c r="D80" s="22"/>
      <c r="E80" s="22"/>
      <c r="F80" s="22"/>
    </row>
    <row r="81" spans="3:6">
      <c r="C81" s="22"/>
      <c r="D81" s="22"/>
      <c r="E81" s="22"/>
      <c r="F81" s="22"/>
    </row>
    <row r="82" spans="3:6">
      <c r="C82" s="22"/>
      <c r="D82" s="22"/>
      <c r="E82" s="22"/>
      <c r="F82" s="22"/>
    </row>
    <row r="83" spans="3:6">
      <c r="C83" s="22"/>
      <c r="D83" s="22"/>
      <c r="E83" s="22"/>
      <c r="F83" s="22"/>
    </row>
    <row r="84" spans="3:6">
      <c r="C84" s="22"/>
      <c r="D84" s="22"/>
      <c r="E84" s="22"/>
      <c r="F84" s="22"/>
    </row>
    <row r="85" spans="3:6">
      <c r="C85" s="22"/>
      <c r="D85" s="22"/>
      <c r="E85" s="22"/>
      <c r="F85" s="22"/>
    </row>
  </sheetData>
  <sheetProtection algorithmName="SHA-512" hashValue="WvrtebWmRjD5fxp5wCx189nJVyY7aMP097ji46Yq4sSxMZYk00Pev805RrDM8PciXfHsGsrRd0SPgZRW4l0gXw==" saltValue="yrLxYj6tlBOvtWgCpqqBqg==" spinCount="100000" sheet="1" selectLockedCells="1" selectUnlockedCells="1"/>
  <mergeCells count="8">
    <mergeCell ref="Q26:Q27"/>
    <mergeCell ref="C2:L3"/>
    <mergeCell ref="D31:F31"/>
    <mergeCell ref="C31:C32"/>
    <mergeCell ref="L31:L32"/>
    <mergeCell ref="G31:H31"/>
    <mergeCell ref="K31:K32"/>
    <mergeCell ref="B5:N6"/>
  </mergeCells>
  <conditionalFormatting sqref="D33:E33">
    <cfRule type="dataBar" priority="10">
      <dataBar>
        <cfvo type="min"/>
        <cfvo type="max"/>
        <color theme="2"/>
      </dataBar>
      <extLst>
        <ext xmlns:x14="http://schemas.microsoft.com/office/spreadsheetml/2009/9/main" uri="{B025F937-C7B1-47D3-B67F-A62EFF666E3E}">
          <x14:id>{858FAF06-12F6-410D-BA4B-51C970D09B29}</x14:id>
        </ext>
      </extLst>
    </cfRule>
  </conditionalFormatting>
  <conditionalFormatting sqref="D34:E34">
    <cfRule type="dataBar" priority="9">
      <dataBar>
        <cfvo type="min"/>
        <cfvo type="max"/>
        <color theme="2"/>
      </dataBar>
      <extLst>
        <ext xmlns:x14="http://schemas.microsoft.com/office/spreadsheetml/2009/9/main" uri="{B025F937-C7B1-47D3-B67F-A62EFF666E3E}">
          <x14:id>{65B2A085-6781-4313-9EC4-CAAD64FE8ECE}</x14:id>
        </ext>
      </extLst>
    </cfRule>
  </conditionalFormatting>
  <conditionalFormatting sqref="D35:E35">
    <cfRule type="dataBar" priority="8">
      <dataBar>
        <cfvo type="min"/>
        <cfvo type="max"/>
        <color theme="2"/>
      </dataBar>
      <extLst>
        <ext xmlns:x14="http://schemas.microsoft.com/office/spreadsheetml/2009/9/main" uri="{B025F937-C7B1-47D3-B67F-A62EFF666E3E}">
          <x14:id>{E7EBB855-916F-4207-ABA3-F9740DCE49B7}</x14:id>
        </ext>
      </extLst>
    </cfRule>
  </conditionalFormatting>
  <conditionalFormatting sqref="D36:E36">
    <cfRule type="dataBar" priority="7">
      <dataBar>
        <cfvo type="min"/>
        <cfvo type="max"/>
        <color theme="2"/>
      </dataBar>
      <extLst>
        <ext xmlns:x14="http://schemas.microsoft.com/office/spreadsheetml/2009/9/main" uri="{B025F937-C7B1-47D3-B67F-A62EFF666E3E}">
          <x14:id>{95A34E89-55B1-4A9B-AE65-4EEDE04A6876}</x14:id>
        </ext>
      </extLst>
    </cfRule>
  </conditionalFormatting>
  <conditionalFormatting sqref="F33 L33 I33:I36">
    <cfRule type="dataBar" priority="62">
      <dataBar>
        <cfvo type="min"/>
        <cfvo type="max"/>
        <color theme="2"/>
      </dataBar>
      <extLst>
        <ext xmlns:x14="http://schemas.microsoft.com/office/spreadsheetml/2009/9/main" uri="{B025F937-C7B1-47D3-B67F-A62EFF666E3E}">
          <x14:id>{657745C0-4D96-4A1A-AD3C-D0A625436348}</x14:id>
        </ext>
      </extLst>
    </cfRule>
  </conditionalFormatting>
  <conditionalFormatting sqref="F34:F36 L34">
    <cfRule type="dataBar" priority="63">
      <dataBar>
        <cfvo type="min"/>
        <cfvo type="max"/>
        <color theme="2"/>
      </dataBar>
      <extLst>
        <ext xmlns:x14="http://schemas.microsoft.com/office/spreadsheetml/2009/9/main" uri="{B025F937-C7B1-47D3-B67F-A62EFF666E3E}">
          <x14:id>{C43CFAC4-1869-44F1-9C71-3C5BF1D58C8F}</x14:id>
        </ext>
      </extLst>
    </cfRule>
  </conditionalFormatting>
  <conditionalFormatting sqref="G33:H36 J33:J36">
    <cfRule type="dataBar" priority="61">
      <dataBar>
        <cfvo type="min"/>
        <cfvo type="max"/>
        <color theme="2"/>
      </dataBar>
      <extLst>
        <ext xmlns:x14="http://schemas.microsoft.com/office/spreadsheetml/2009/9/main" uri="{B025F937-C7B1-47D3-B67F-A62EFF666E3E}">
          <x14:id>{4BE4F2C4-9230-4C51-9E97-D225E9A5D985}</x14:id>
        </ext>
      </extLst>
    </cfRule>
  </conditionalFormatting>
  <conditionalFormatting sqref="K33:K37">
    <cfRule type="dataBar" priority="415">
      <dataBar>
        <cfvo type="min"/>
        <cfvo type="max"/>
        <color theme="2"/>
      </dataBar>
      <extLst>
        <ext xmlns:x14="http://schemas.microsoft.com/office/spreadsheetml/2009/9/main" uri="{B025F937-C7B1-47D3-B67F-A62EFF666E3E}">
          <x14:id>{03DE95BE-3C15-45C9-A3A3-FEF229BCD047}</x14:id>
        </ext>
      </extLst>
    </cfRule>
  </conditionalFormatting>
  <conditionalFormatting sqref="L35">
    <cfRule type="dataBar" priority="64">
      <dataBar>
        <cfvo type="min"/>
        <cfvo type="max"/>
        <color theme="2"/>
      </dataBar>
      <extLst>
        <ext xmlns:x14="http://schemas.microsoft.com/office/spreadsheetml/2009/9/main" uri="{B025F937-C7B1-47D3-B67F-A62EFF666E3E}">
          <x14:id>{E5A9913A-4931-4304-9656-B09097024898}</x14:id>
        </ext>
      </extLst>
    </cfRule>
  </conditionalFormatting>
  <conditionalFormatting sqref="L36">
    <cfRule type="dataBar" priority="65">
      <dataBar>
        <cfvo type="min"/>
        <cfvo type="max"/>
        <color theme="2"/>
      </dataBar>
      <extLst>
        <ext xmlns:x14="http://schemas.microsoft.com/office/spreadsheetml/2009/9/main" uri="{B025F937-C7B1-47D3-B67F-A62EFF666E3E}">
          <x14:id>{47D12EEF-1E7C-443B-98EE-26AEB387CDA1}</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858FAF06-12F6-410D-BA4B-51C970D09B29}">
            <x14:dataBar minLength="0" maxLength="100" gradient="0">
              <x14:cfvo type="autoMin"/>
              <x14:cfvo type="autoMax"/>
              <x14:negativeFillColor rgb="FFFF0000"/>
              <x14:axisColor rgb="FF000000"/>
            </x14:dataBar>
          </x14:cfRule>
          <xm:sqref>D33:E33</xm:sqref>
        </x14:conditionalFormatting>
        <x14:conditionalFormatting xmlns:xm="http://schemas.microsoft.com/office/excel/2006/main">
          <x14:cfRule type="dataBar" id="{65B2A085-6781-4313-9EC4-CAAD64FE8ECE}">
            <x14:dataBar minLength="0" maxLength="100" gradient="0">
              <x14:cfvo type="autoMin"/>
              <x14:cfvo type="autoMax"/>
              <x14:negativeFillColor rgb="FFFF0000"/>
              <x14:axisColor rgb="FF000000"/>
            </x14:dataBar>
          </x14:cfRule>
          <xm:sqref>D34:E34</xm:sqref>
        </x14:conditionalFormatting>
        <x14:conditionalFormatting xmlns:xm="http://schemas.microsoft.com/office/excel/2006/main">
          <x14:cfRule type="dataBar" id="{E7EBB855-916F-4207-ABA3-F9740DCE49B7}">
            <x14:dataBar minLength="0" maxLength="100" gradient="0">
              <x14:cfvo type="autoMin"/>
              <x14:cfvo type="autoMax"/>
              <x14:negativeFillColor rgb="FFFF0000"/>
              <x14:axisColor rgb="FF000000"/>
            </x14:dataBar>
          </x14:cfRule>
          <xm:sqref>D35:E35</xm:sqref>
        </x14:conditionalFormatting>
        <x14:conditionalFormatting xmlns:xm="http://schemas.microsoft.com/office/excel/2006/main">
          <x14:cfRule type="dataBar" id="{95A34E89-55B1-4A9B-AE65-4EEDE04A6876}">
            <x14:dataBar minLength="0" maxLength="100" gradient="0">
              <x14:cfvo type="autoMin"/>
              <x14:cfvo type="autoMax"/>
              <x14:negativeFillColor rgb="FFFF0000"/>
              <x14:axisColor rgb="FF000000"/>
            </x14:dataBar>
          </x14:cfRule>
          <xm:sqref>D36:E36</xm:sqref>
        </x14:conditionalFormatting>
        <x14:conditionalFormatting xmlns:xm="http://schemas.microsoft.com/office/excel/2006/main">
          <x14:cfRule type="dataBar" id="{657745C0-4D96-4A1A-AD3C-D0A625436348}">
            <x14:dataBar minLength="0" maxLength="100" gradient="0">
              <x14:cfvo type="autoMin"/>
              <x14:cfvo type="autoMax"/>
              <x14:negativeFillColor rgb="FFFF0000"/>
              <x14:axisColor rgb="FF000000"/>
            </x14:dataBar>
          </x14:cfRule>
          <xm:sqref>F33 L33 I33:I36</xm:sqref>
        </x14:conditionalFormatting>
        <x14:conditionalFormatting xmlns:xm="http://schemas.microsoft.com/office/excel/2006/main">
          <x14:cfRule type="dataBar" id="{C43CFAC4-1869-44F1-9C71-3C5BF1D58C8F}">
            <x14:dataBar minLength="0" maxLength="100" gradient="0">
              <x14:cfvo type="autoMin"/>
              <x14:cfvo type="autoMax"/>
              <x14:negativeFillColor rgb="FFFF0000"/>
              <x14:axisColor rgb="FF000000"/>
            </x14:dataBar>
          </x14:cfRule>
          <xm:sqref>F34:F36 L34</xm:sqref>
        </x14:conditionalFormatting>
        <x14:conditionalFormatting xmlns:xm="http://schemas.microsoft.com/office/excel/2006/main">
          <x14:cfRule type="dataBar" id="{4BE4F2C4-9230-4C51-9E97-D225E9A5D985}">
            <x14:dataBar minLength="0" maxLength="100" gradient="0">
              <x14:cfvo type="autoMin"/>
              <x14:cfvo type="autoMax"/>
              <x14:negativeFillColor rgb="FFFF0000"/>
              <x14:axisColor rgb="FF000000"/>
            </x14:dataBar>
          </x14:cfRule>
          <xm:sqref>G33:H36 J33:J36</xm:sqref>
        </x14:conditionalFormatting>
        <x14:conditionalFormatting xmlns:xm="http://schemas.microsoft.com/office/excel/2006/main">
          <x14:cfRule type="dataBar" id="{03DE95BE-3C15-45C9-A3A3-FEF229BCD047}">
            <x14:dataBar minLength="0" maxLength="100" gradient="0">
              <x14:cfvo type="autoMin"/>
              <x14:cfvo type="autoMax"/>
              <x14:negativeFillColor rgb="FFFF0000"/>
              <x14:axisColor rgb="FF000000"/>
            </x14:dataBar>
          </x14:cfRule>
          <xm:sqref>K33:K37</xm:sqref>
        </x14:conditionalFormatting>
        <x14:conditionalFormatting xmlns:xm="http://schemas.microsoft.com/office/excel/2006/main">
          <x14:cfRule type="dataBar" id="{E5A9913A-4931-4304-9656-B09097024898}">
            <x14:dataBar minLength="0" maxLength="100" gradient="0">
              <x14:cfvo type="autoMin"/>
              <x14:cfvo type="autoMax"/>
              <x14:negativeFillColor rgb="FFFF0000"/>
              <x14:axisColor rgb="FF000000"/>
            </x14:dataBar>
          </x14:cfRule>
          <xm:sqref>L35</xm:sqref>
        </x14:conditionalFormatting>
        <x14:conditionalFormatting xmlns:xm="http://schemas.microsoft.com/office/excel/2006/main">
          <x14:cfRule type="dataBar" id="{47D12EEF-1E7C-443B-98EE-26AEB387CDA1}">
            <x14:dataBar minLength="0" maxLength="100" gradient="0">
              <x14:cfvo type="autoMin"/>
              <x14:cfvo type="autoMax"/>
              <x14:negativeFillColor rgb="FFFF0000"/>
              <x14:axisColor rgb="FF000000"/>
            </x14:dataBar>
          </x14:cfRule>
          <xm:sqref>L36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9DFC-73DE-4BBD-B5DE-AD5BB3173EBB}">
  <sheetPr codeName="Sheet4">
    <tabColor theme="5" tint="0.39997558519241921"/>
    <pageSetUpPr fitToPage="1"/>
  </sheetPr>
  <dimension ref="B1:AD45"/>
  <sheetViews>
    <sheetView tabSelected="1" zoomScaleNormal="100" workbookViewId="0">
      <selection activeCell="O49" sqref="O49"/>
    </sheetView>
  </sheetViews>
  <sheetFormatPr defaultColWidth="8.7109375" defaultRowHeight="14.25"/>
  <cols>
    <col min="1" max="1" width="0.85546875" style="176" customWidth="1"/>
    <col min="2" max="2" width="3.7109375" style="176" customWidth="1"/>
    <col min="3" max="3" width="3.7109375" style="175" customWidth="1"/>
    <col min="4" max="4" width="3.42578125" style="176" customWidth="1"/>
    <col min="5" max="5" width="12" style="176" customWidth="1"/>
    <col min="6" max="6" width="5.85546875" style="176" customWidth="1"/>
    <col min="7" max="7" width="10.42578125" style="176" customWidth="1"/>
    <col min="8" max="8" width="1.42578125" style="176" customWidth="1"/>
    <col min="9" max="9" width="10.42578125" style="176" customWidth="1"/>
    <col min="10" max="10" width="5.85546875" style="176" customWidth="1"/>
    <col min="11" max="11" width="10.42578125" style="176" customWidth="1"/>
    <col min="12" max="12" width="1.42578125" style="176" customWidth="1"/>
    <col min="13" max="13" width="10.42578125" style="176" customWidth="1"/>
    <col min="14" max="14" width="5.85546875" style="176" customWidth="1"/>
    <col min="15" max="15" width="10.42578125" style="176" customWidth="1"/>
    <col min="16" max="16" width="1.42578125" style="176" customWidth="1"/>
    <col min="17" max="17" width="10.42578125" style="176" customWidth="1"/>
    <col min="18" max="18" width="5.85546875" style="176" customWidth="1"/>
    <col min="19" max="19" width="10.42578125" style="176" customWidth="1"/>
    <col min="20" max="20" width="1.42578125" style="176" customWidth="1"/>
    <col min="21" max="21" width="10.42578125" style="176" customWidth="1"/>
    <col min="22" max="22" width="5.85546875" style="176" customWidth="1"/>
    <col min="23" max="24" width="9.42578125" style="176" customWidth="1"/>
    <col min="25" max="25" width="9.5703125" style="176" customWidth="1"/>
    <col min="26" max="26" width="9.28515625" style="176" customWidth="1"/>
    <col min="27" max="27" width="7.28515625" style="176" customWidth="1"/>
    <col min="28" max="31" width="9.42578125" style="176" customWidth="1"/>
    <col min="32" max="16384" width="8.7109375" style="176"/>
  </cols>
  <sheetData>
    <row r="1" spans="3:27" ht="7.5" customHeight="1"/>
    <row r="2" spans="3:27" ht="7.5" customHeight="1"/>
    <row r="5" spans="3:27" ht="11.25" customHeight="1"/>
    <row r="6" spans="3:27" ht="20.25">
      <c r="M6" s="293" t="s">
        <v>96</v>
      </c>
      <c r="N6" s="293"/>
      <c r="O6" s="293"/>
      <c r="P6" s="293"/>
    </row>
    <row r="7" spans="3:27" ht="18" customHeight="1">
      <c r="D7" s="177" t="s">
        <v>146</v>
      </c>
      <c r="E7" s="178"/>
      <c r="F7" s="178"/>
      <c r="G7" s="178"/>
      <c r="H7" s="178"/>
      <c r="I7" s="178"/>
      <c r="K7" s="179"/>
      <c r="L7" s="179"/>
      <c r="M7" s="292"/>
      <c r="N7" s="292"/>
      <c r="O7" s="292"/>
      <c r="P7" s="292"/>
      <c r="Q7" s="179"/>
      <c r="R7" s="179"/>
      <c r="S7" s="282" t="str">
        <f ca="1">Message</f>
        <v>Your Name, you have 
321 days to complete 63 chapters &amp; 215 hrs of lectures.
For this you must study for 1:00 hrs and 3:15 hrs respectively on weekdays &amp; weekends.</v>
      </c>
      <c r="T7" s="282"/>
      <c r="U7" s="282"/>
      <c r="V7" s="282"/>
    </row>
    <row r="8" spans="3:27" ht="18.600000000000001" customHeight="1">
      <c r="D8" s="180" t="s">
        <v>116</v>
      </c>
      <c r="E8" s="178"/>
      <c r="F8" s="178"/>
      <c r="G8" s="178"/>
      <c r="H8" s="178"/>
      <c r="I8" s="41">
        <v>2.5</v>
      </c>
      <c r="K8" s="179"/>
      <c r="L8" s="179"/>
      <c r="M8" s="179"/>
      <c r="N8" s="179"/>
      <c r="O8" s="179"/>
      <c r="P8" s="179"/>
      <c r="Q8" s="179"/>
      <c r="R8" s="179"/>
      <c r="S8" s="282"/>
      <c r="T8" s="282"/>
      <c r="U8" s="282"/>
      <c r="V8" s="282"/>
    </row>
    <row r="9" spans="3:27" ht="18.600000000000001" customHeight="1">
      <c r="D9" s="180" t="s">
        <v>117</v>
      </c>
      <c r="E9" s="178"/>
      <c r="F9" s="178"/>
      <c r="G9" s="178"/>
      <c r="H9" s="178"/>
      <c r="I9" s="41">
        <v>8</v>
      </c>
      <c r="K9" s="179"/>
      <c r="L9" s="179"/>
      <c r="M9" s="179"/>
      <c r="N9" s="179"/>
      <c r="O9" s="179"/>
      <c r="P9" s="179"/>
      <c r="Q9" s="179"/>
      <c r="R9" s="179"/>
      <c r="S9" s="282"/>
      <c r="T9" s="282"/>
      <c r="U9" s="282"/>
      <c r="V9" s="282"/>
    </row>
    <row r="10" spans="3:27" ht="18.600000000000001" customHeight="1">
      <c r="D10" s="180" t="s">
        <v>118</v>
      </c>
      <c r="E10" s="178"/>
      <c r="F10" s="178"/>
      <c r="G10" s="178"/>
      <c r="H10" s="178"/>
      <c r="I10" s="41">
        <v>5</v>
      </c>
      <c r="K10" s="179"/>
      <c r="L10" s="179"/>
      <c r="M10" s="179"/>
      <c r="O10" s="179"/>
      <c r="P10" s="179"/>
      <c r="Q10" s="179"/>
      <c r="R10" s="181"/>
      <c r="S10" s="282"/>
      <c r="T10" s="282"/>
      <c r="U10" s="282"/>
      <c r="V10" s="282"/>
    </row>
    <row r="11" spans="3:27" ht="18.600000000000001" customHeight="1">
      <c r="D11" s="180" t="s">
        <v>119</v>
      </c>
      <c r="E11" s="178"/>
      <c r="F11" s="178"/>
      <c r="G11" s="178"/>
      <c r="H11" s="178"/>
      <c r="I11" s="42">
        <v>21</v>
      </c>
      <c r="K11" s="179"/>
      <c r="L11" s="179"/>
      <c r="M11" s="179"/>
      <c r="O11" s="179"/>
      <c r="P11" s="179"/>
      <c r="Q11" s="179"/>
      <c r="R11" s="182"/>
      <c r="S11" s="282"/>
      <c r="T11" s="282"/>
      <c r="U11" s="282"/>
      <c r="V11" s="282"/>
    </row>
    <row r="12" spans="3:27" ht="18.600000000000001" customHeight="1">
      <c r="D12" s="180" t="s">
        <v>135</v>
      </c>
      <c r="E12" s="178"/>
      <c r="F12" s="178"/>
      <c r="G12" s="178"/>
      <c r="H12" s="178"/>
      <c r="I12" s="42">
        <v>5</v>
      </c>
      <c r="K12" s="179"/>
      <c r="L12" s="179"/>
      <c r="M12" s="179"/>
      <c r="O12" s="179"/>
      <c r="P12" s="179"/>
      <c r="Q12" s="179"/>
      <c r="S12" s="282"/>
      <c r="T12" s="282"/>
      <c r="U12" s="282"/>
      <c r="V12" s="282"/>
    </row>
    <row r="14" spans="3:27" s="183" customFormat="1" ht="18.75" customHeight="1">
      <c r="C14" s="175"/>
      <c r="G14" s="297"/>
      <c r="H14" s="297"/>
      <c r="I14" s="297"/>
      <c r="J14" s="184"/>
      <c r="K14" s="184"/>
      <c r="L14" s="184"/>
      <c r="M14" s="185"/>
      <c r="N14" s="186"/>
      <c r="O14" s="187"/>
      <c r="P14" s="188"/>
      <c r="Q14" s="189"/>
      <c r="R14" s="190"/>
    </row>
    <row r="15" spans="3:27" s="183" customFormat="1" ht="15" customHeight="1">
      <c r="C15" s="175"/>
      <c r="J15" s="191"/>
      <c r="K15" s="291"/>
      <c r="L15" s="291"/>
      <c r="M15" s="185"/>
      <c r="N15" s="186"/>
      <c r="O15" s="187"/>
      <c r="P15" s="188"/>
      <c r="Q15" s="189"/>
      <c r="R15" s="190"/>
      <c r="X15" s="192"/>
      <c r="Y15" s="192"/>
      <c r="Z15" s="192"/>
      <c r="AA15" s="176"/>
    </row>
    <row r="16" spans="3:27" s="183" customFormat="1" ht="15" customHeight="1">
      <c r="C16" s="193" t="s">
        <v>120</v>
      </c>
      <c r="D16" s="193"/>
      <c r="F16" s="193"/>
      <c r="J16" s="191"/>
      <c r="K16" s="184"/>
      <c r="L16" s="184"/>
      <c r="M16" s="185"/>
      <c r="N16" s="186"/>
      <c r="O16" s="187"/>
      <c r="P16" s="188"/>
      <c r="Q16" s="189"/>
      <c r="R16" s="190"/>
      <c r="X16" s="194"/>
      <c r="Y16" s="194"/>
      <c r="Z16" s="194"/>
    </row>
    <row r="17" spans="2:30" s="183" customFormat="1" ht="15" customHeight="1">
      <c r="C17" s="195"/>
      <c r="D17" s="196" t="s">
        <v>38</v>
      </c>
      <c r="F17" s="196"/>
      <c r="K17" s="184"/>
      <c r="L17" s="184"/>
      <c r="M17" s="185"/>
      <c r="N17" s="186"/>
      <c r="O17" s="187"/>
      <c r="P17" s="188"/>
      <c r="Q17" s="189"/>
      <c r="R17" s="190"/>
      <c r="X17" s="194"/>
      <c r="Y17" s="194"/>
      <c r="Z17" s="194"/>
    </row>
    <row r="18" spans="2:30" s="183" customFormat="1" ht="15" customHeight="1">
      <c r="C18" s="197"/>
      <c r="D18" s="196" t="s">
        <v>124</v>
      </c>
      <c r="F18" s="196"/>
      <c r="J18" s="184"/>
      <c r="K18" s="184"/>
      <c r="L18" s="184"/>
      <c r="M18" s="185"/>
      <c r="N18" s="186"/>
      <c r="O18" s="187"/>
      <c r="P18" s="188"/>
      <c r="Q18" s="189"/>
      <c r="R18" s="190"/>
      <c r="X18" s="194"/>
      <c r="Y18" s="194"/>
      <c r="Z18" s="194"/>
      <c r="AB18" s="294"/>
      <c r="AC18" s="294"/>
      <c r="AD18" s="191"/>
    </row>
    <row r="19" spans="2:30" s="183" customFormat="1" ht="15" customHeight="1">
      <c r="J19" s="184"/>
      <c r="K19" s="184"/>
      <c r="L19" s="184"/>
      <c r="M19" s="185"/>
      <c r="N19" s="186"/>
      <c r="O19" s="187"/>
      <c r="P19" s="188"/>
      <c r="Q19" s="189"/>
      <c r="R19" s="190"/>
      <c r="X19" s="194"/>
      <c r="Y19" s="194"/>
      <c r="Z19" s="194"/>
      <c r="AB19" s="176"/>
      <c r="AC19" s="196"/>
      <c r="AD19" s="191"/>
    </row>
    <row r="20" spans="2:30" s="183" customFormat="1" ht="15" customHeight="1">
      <c r="C20" s="199" t="s">
        <v>121</v>
      </c>
      <c r="D20" s="198"/>
      <c r="F20" s="198"/>
      <c r="J20" s="184"/>
      <c r="K20" s="184"/>
      <c r="L20" s="184"/>
      <c r="M20" s="185"/>
      <c r="N20" s="186"/>
      <c r="O20" s="187"/>
      <c r="P20" s="188"/>
      <c r="Q20" s="189"/>
      <c r="R20" s="190"/>
      <c r="X20" s="194"/>
      <c r="Y20" s="194"/>
      <c r="Z20" s="194"/>
      <c r="AB20" s="196"/>
    </row>
    <row r="21" spans="2:30" s="183" customFormat="1" ht="16.5">
      <c r="C21" s="200"/>
      <c r="D21" s="196" t="s">
        <v>37</v>
      </c>
      <c r="F21" s="196"/>
      <c r="G21" s="201"/>
      <c r="H21" s="201"/>
      <c r="I21" s="201"/>
      <c r="J21" s="184"/>
      <c r="K21" s="184"/>
      <c r="L21" s="184"/>
      <c r="M21" s="185"/>
      <c r="N21" s="202"/>
      <c r="O21" s="203"/>
      <c r="P21" s="203"/>
      <c r="Q21" s="203"/>
      <c r="R21" s="203"/>
      <c r="S21" s="204"/>
      <c r="T21" s="204"/>
      <c r="U21" s="204"/>
      <c r="V21" s="176"/>
      <c r="Y21" s="176"/>
      <c r="Z21" s="196"/>
      <c r="AA21" s="176"/>
      <c r="AB21" s="196"/>
    </row>
    <row r="22" spans="2:30" s="183" customFormat="1" ht="15" customHeight="1">
      <c r="C22" s="205"/>
      <c r="D22" s="196" t="s">
        <v>125</v>
      </c>
      <c r="F22" s="196"/>
      <c r="G22" s="201"/>
      <c r="H22" s="201"/>
      <c r="I22" s="201"/>
      <c r="J22" s="204"/>
      <c r="K22" s="204"/>
      <c r="L22" s="204"/>
      <c r="M22" s="185"/>
      <c r="N22" s="206"/>
      <c r="O22" s="207"/>
      <c r="P22" s="207"/>
      <c r="Q22" s="189"/>
      <c r="R22" s="207"/>
      <c r="S22" s="204"/>
      <c r="T22" s="204"/>
      <c r="U22" s="204"/>
      <c r="V22" s="176"/>
      <c r="AB22" s="176"/>
      <c r="AC22" s="176"/>
    </row>
    <row r="23" spans="2:30" s="183" customFormat="1" ht="15" customHeight="1">
      <c r="C23" s="175"/>
      <c r="D23" s="176"/>
      <c r="E23" s="176"/>
      <c r="F23" s="176"/>
      <c r="G23" s="204"/>
      <c r="H23" s="204"/>
      <c r="I23" s="204"/>
      <c r="J23" s="184"/>
      <c r="K23" s="184"/>
      <c r="L23" s="184"/>
      <c r="M23" s="185"/>
      <c r="N23" s="208"/>
      <c r="O23" s="188"/>
      <c r="P23" s="188"/>
      <c r="Q23" s="189"/>
      <c r="R23" s="188"/>
      <c r="S23" s="204"/>
      <c r="T23" s="204"/>
      <c r="U23" s="204"/>
      <c r="V23" s="176"/>
      <c r="AB23" s="176"/>
      <c r="AC23" s="176"/>
    </row>
    <row r="24" spans="2:30" s="183" customFormat="1" ht="15" customHeight="1">
      <c r="C24" s="175"/>
      <c r="D24" s="176"/>
      <c r="E24" s="176"/>
      <c r="F24" s="176"/>
      <c r="G24" s="204"/>
      <c r="H24" s="204"/>
      <c r="I24" s="204"/>
      <c r="J24" s="184"/>
      <c r="K24" s="184"/>
      <c r="L24" s="184"/>
      <c r="M24" s="185"/>
      <c r="N24" s="208"/>
      <c r="O24" s="188"/>
      <c r="P24" s="188"/>
      <c r="Q24" s="189"/>
      <c r="R24" s="188"/>
      <c r="S24" s="204"/>
      <c r="T24" s="204"/>
      <c r="U24" s="204"/>
      <c r="V24" s="176"/>
      <c r="AB24" s="176"/>
      <c r="AC24" s="176"/>
    </row>
    <row r="25" spans="2:30" s="183" customFormat="1" ht="15" customHeight="1">
      <c r="C25" s="175"/>
      <c r="D25" s="176"/>
      <c r="E25" s="176"/>
      <c r="F25" s="176"/>
      <c r="G25" s="204"/>
      <c r="H25" s="204"/>
      <c r="I25" s="204"/>
      <c r="J25" s="184"/>
      <c r="K25" s="184"/>
      <c r="L25" s="184"/>
      <c r="M25" s="185"/>
      <c r="N25" s="208"/>
      <c r="O25" s="188"/>
      <c r="P25" s="188"/>
      <c r="Q25" s="189"/>
      <c r="R25" s="188"/>
      <c r="S25" s="204"/>
      <c r="T25" s="204"/>
      <c r="U25" s="204"/>
      <c r="V25" s="176"/>
      <c r="AB25" s="176"/>
      <c r="AC25" s="176"/>
    </row>
    <row r="26" spans="2:30" s="33" customFormat="1" ht="15" customHeight="1" thickBot="1">
      <c r="C26" s="214"/>
      <c r="D26" s="32"/>
      <c r="E26" s="32"/>
      <c r="F26" s="32"/>
      <c r="G26" s="303" t="s">
        <v>136</v>
      </c>
      <c r="H26" s="303"/>
      <c r="I26" s="303"/>
      <c r="J26" s="215"/>
      <c r="K26" s="303" t="s">
        <v>137</v>
      </c>
      <c r="L26" s="303"/>
      <c r="M26" s="303"/>
      <c r="N26" s="216"/>
      <c r="O26" s="303" t="s">
        <v>138</v>
      </c>
      <c r="P26" s="303"/>
      <c r="Q26" s="303"/>
      <c r="R26" s="217"/>
      <c r="S26" s="303" t="s">
        <v>140</v>
      </c>
      <c r="T26" s="303"/>
      <c r="U26" s="303"/>
      <c r="V26" s="32"/>
      <c r="AB26" s="32"/>
      <c r="AC26" s="32"/>
    </row>
    <row r="27" spans="2:30" s="33" customFormat="1" ht="7.5" customHeight="1" thickTop="1" thickBot="1">
      <c r="C27" s="214"/>
      <c r="D27" s="32"/>
      <c r="E27" s="32"/>
      <c r="F27" s="32"/>
      <c r="G27" s="218"/>
      <c r="H27" s="219"/>
      <c r="I27" s="220"/>
      <c r="J27" s="32"/>
      <c r="K27" s="220"/>
      <c r="L27" s="221"/>
      <c r="M27" s="220"/>
      <c r="N27" s="222"/>
      <c r="O27" s="220"/>
      <c r="P27" s="222"/>
      <c r="Q27" s="220"/>
      <c r="R27" s="222"/>
      <c r="S27" s="220"/>
      <c r="T27" s="222"/>
      <c r="U27" s="220"/>
      <c r="V27" s="32"/>
      <c r="W27" s="223"/>
      <c r="X27" s="223"/>
      <c r="Y27" s="32"/>
      <c r="Z27" s="32"/>
      <c r="AA27" s="32"/>
      <c r="AB27" s="32"/>
      <c r="AC27" s="32"/>
    </row>
    <row r="28" spans="2:30" s="224" customFormat="1" ht="12.75" thickTop="1" thickBot="1">
      <c r="D28" s="225"/>
      <c r="E28" s="225"/>
      <c r="F28" s="225"/>
      <c r="G28" s="226" t="s">
        <v>131</v>
      </c>
      <c r="H28" s="227"/>
      <c r="I28" s="226" t="s">
        <v>132</v>
      </c>
      <c r="J28" s="225"/>
      <c r="K28" s="226" t="s">
        <v>131</v>
      </c>
      <c r="L28" s="225"/>
      <c r="M28" s="226" t="s">
        <v>132</v>
      </c>
      <c r="N28" s="228"/>
      <c r="O28" s="226" t="s">
        <v>131</v>
      </c>
      <c r="P28" s="229"/>
      <c r="Q28" s="226" t="s">
        <v>132</v>
      </c>
      <c r="R28" s="229"/>
      <c r="S28" s="226" t="s">
        <v>131</v>
      </c>
      <c r="T28" s="225"/>
      <c r="U28" s="226" t="s">
        <v>132</v>
      </c>
      <c r="V28" s="225"/>
      <c r="AB28" s="225"/>
      <c r="AC28" s="225"/>
    </row>
    <row r="29" spans="2:30" s="33" customFormat="1" ht="21.75" customHeight="1" thickTop="1">
      <c r="B29" s="283" t="s">
        <v>134</v>
      </c>
      <c r="C29" s="284"/>
      <c r="D29" s="298" t="s">
        <v>38</v>
      </c>
      <c r="E29" s="298"/>
      <c r="F29" s="230"/>
      <c r="G29" s="231">
        <f ca="1">Working!D24</f>
        <v>0</v>
      </c>
      <c r="H29" s="232"/>
      <c r="I29" s="233">
        <f ca="1">Working!D29</f>
        <v>0</v>
      </c>
      <c r="J29" s="234"/>
      <c r="K29" s="235">
        <f ca="1">Working!D26</f>
        <v>0</v>
      </c>
      <c r="L29" s="236"/>
      <c r="M29" s="235">
        <f ca="1">Working!D31</f>
        <v>0</v>
      </c>
      <c r="N29" s="237"/>
      <c r="O29" s="235">
        <f ca="1">Working!D27</f>
        <v>0</v>
      </c>
      <c r="P29" s="238"/>
      <c r="Q29" s="235">
        <f ca="1">Working!D32</f>
        <v>0</v>
      </c>
      <c r="R29" s="238"/>
      <c r="S29" s="239">
        <f ca="1">O29+K29</f>
        <v>0</v>
      </c>
      <c r="T29" s="232"/>
      <c r="U29" s="239">
        <f ca="1">Q29+M29</f>
        <v>0</v>
      </c>
      <c r="V29" s="32"/>
      <c r="AB29" s="32"/>
      <c r="AC29" s="32"/>
    </row>
    <row r="30" spans="2:30" s="33" customFormat="1" ht="21.75" customHeight="1" thickBot="1">
      <c r="B30" s="285"/>
      <c r="C30" s="286"/>
      <c r="D30" s="299" t="s">
        <v>37</v>
      </c>
      <c r="E30" s="300"/>
      <c r="F30" s="230"/>
      <c r="G30" s="240">
        <f ca="1">Working!C24</f>
        <v>0.39765554553651933</v>
      </c>
      <c r="H30" s="232"/>
      <c r="I30" s="241">
        <f ca="1">Working!C29</f>
        <v>5.6807935076645624E-2</v>
      </c>
      <c r="J30" s="234"/>
      <c r="K30" s="242">
        <f ca="1">Working!C26</f>
        <v>5.6799168419997985E-2</v>
      </c>
      <c r="L30" s="243"/>
      <c r="M30" s="242">
        <f ca="1">Working!C31</f>
        <v>8.1141669171425693E-3</v>
      </c>
      <c r="N30" s="244"/>
      <c r="O30" s="242">
        <f ca="1">Working!C27</f>
        <v>8.28449053201082E-2</v>
      </c>
      <c r="P30" s="245"/>
      <c r="Q30" s="242">
        <f ca="1">Working!C32</f>
        <v>1.1834986474301172E-2</v>
      </c>
      <c r="R30" s="245"/>
      <c r="S30" s="242">
        <f ca="1">O30+K30</f>
        <v>0.13964407374010618</v>
      </c>
      <c r="T30" s="232"/>
      <c r="U30" s="242">
        <f ca="1">Q30+M30</f>
        <v>1.9949153391443743E-2</v>
      </c>
      <c r="V30" s="32"/>
      <c r="AB30" s="32"/>
      <c r="AC30" s="32"/>
    </row>
    <row r="31" spans="2:30" s="32" customFormat="1" ht="15.6" customHeight="1" thickTop="1" thickBot="1">
      <c r="B31" s="287"/>
      <c r="C31" s="288"/>
      <c r="D31" s="301" t="s">
        <v>56</v>
      </c>
      <c r="E31" s="301"/>
      <c r="F31" s="230"/>
      <c r="G31" s="279">
        <f ca="1">Working!E24</f>
        <v>-1</v>
      </c>
      <c r="H31" s="280"/>
      <c r="I31" s="281"/>
      <c r="J31" s="246"/>
      <c r="K31" s="279">
        <f ca="1">Working!E26</f>
        <v>-1</v>
      </c>
      <c r="L31" s="280"/>
      <c r="M31" s="281"/>
      <c r="N31" s="247"/>
      <c r="O31" s="279">
        <f ca="1">Working!E27</f>
        <v>-1</v>
      </c>
      <c r="P31" s="280"/>
      <c r="Q31" s="281"/>
      <c r="R31" s="217"/>
      <c r="S31" s="279">
        <f ca="1">Working!E25</f>
        <v>-1</v>
      </c>
      <c r="T31" s="280"/>
      <c r="U31" s="281"/>
    </row>
    <row r="32" spans="2:30" s="32" customFormat="1" ht="15" customHeight="1" thickTop="1" thickBot="1">
      <c r="B32" s="289" t="s">
        <v>133</v>
      </c>
      <c r="C32" s="290"/>
      <c r="D32" s="302" t="s">
        <v>41</v>
      </c>
      <c r="E32" s="302"/>
      <c r="F32" s="230"/>
      <c r="G32" s="248">
        <f ca="1">Working!F24</f>
        <v>1.3738317757009346</v>
      </c>
      <c r="H32" s="249"/>
      <c r="I32" s="248">
        <f ca="1">Working!F29</f>
        <v>0.19626168224299065</v>
      </c>
      <c r="J32" s="232"/>
      <c r="K32" s="250">
        <f ca="1">Working!F26</f>
        <v>0.19623139494634817</v>
      </c>
      <c r="L32" s="243"/>
      <c r="M32" s="250">
        <f ca="1">Working!F31</f>
        <v>2.8033056420906879E-2</v>
      </c>
      <c r="N32" s="251"/>
      <c r="O32" s="250">
        <f ca="1">Working!F27</f>
        <v>0.28621495327102808</v>
      </c>
      <c r="P32" s="252"/>
      <c r="Q32" s="250">
        <f ca="1">Working!F32</f>
        <v>4.0887850467289717E-2</v>
      </c>
      <c r="R32" s="252"/>
      <c r="S32" s="250">
        <f ca="1">O32+K32</f>
        <v>0.48244634821737625</v>
      </c>
      <c r="T32" s="232"/>
      <c r="U32" s="250">
        <f ca="1">Q32+M32</f>
        <v>6.8920906888196604E-2</v>
      </c>
    </row>
    <row r="33" spans="2:21" s="32" customFormat="1" ht="15" customHeight="1" thickTop="1" thickBot="1">
      <c r="B33" s="289"/>
      <c r="C33" s="290"/>
      <c r="D33" s="295" t="s">
        <v>92</v>
      </c>
      <c r="E33" s="296"/>
      <c r="F33" s="230"/>
      <c r="G33" s="279" t="str">
        <f ca="1">Working!G24</f>
        <v>+100%</v>
      </c>
      <c r="H33" s="280"/>
      <c r="I33" s="281"/>
      <c r="K33" s="279" t="str">
        <f ca="1">Working!G26</f>
        <v>+100%</v>
      </c>
      <c r="L33" s="280"/>
      <c r="M33" s="281"/>
      <c r="N33" s="247"/>
      <c r="O33" s="279" t="str">
        <f ca="1">Working!G27</f>
        <v>+100%</v>
      </c>
      <c r="P33" s="280"/>
      <c r="Q33" s="281"/>
      <c r="R33" s="217"/>
      <c r="S33" s="279" t="str">
        <f ca="1">Working!G25</f>
        <v>+100%</v>
      </c>
      <c r="T33" s="280"/>
      <c r="U33" s="281"/>
    </row>
    <row r="34" spans="2:21" ht="15" thickTop="1">
      <c r="D34" s="209"/>
      <c r="E34" s="209"/>
      <c r="F34" s="209"/>
      <c r="G34" s="209"/>
      <c r="H34" s="209"/>
      <c r="I34" s="209"/>
      <c r="N34" s="210"/>
      <c r="O34" s="188"/>
      <c r="P34" s="188"/>
      <c r="Q34" s="189"/>
      <c r="R34" s="188"/>
    </row>
    <row r="35" spans="2:21">
      <c r="B35" s="176" t="s">
        <v>218</v>
      </c>
      <c r="D35" s="209"/>
      <c r="E35" s="209"/>
      <c r="F35" s="209"/>
      <c r="G35" s="209"/>
      <c r="H35" s="209"/>
      <c r="I35" s="209"/>
      <c r="N35" s="210"/>
      <c r="O35" s="188"/>
      <c r="P35" s="188"/>
      <c r="Q35" s="189"/>
      <c r="R35" s="188"/>
    </row>
    <row r="36" spans="2:21" ht="15" customHeight="1">
      <c r="J36" s="211"/>
      <c r="K36" s="209"/>
      <c r="N36" s="210"/>
      <c r="O36" s="188"/>
      <c r="P36" s="188"/>
      <c r="Q36" s="189"/>
      <c r="R36" s="188"/>
    </row>
    <row r="37" spans="2:21" ht="15" customHeight="1"/>
    <row r="38" spans="2:21" ht="15" customHeight="1"/>
    <row r="39" spans="2:21" ht="15" customHeight="1">
      <c r="O39" s="212"/>
      <c r="Q39" s="213"/>
    </row>
    <row r="40" spans="2:21" ht="15" customHeight="1"/>
    <row r="45" spans="2:21" ht="15" customHeight="1"/>
  </sheetData>
  <sheetProtection algorithmName="SHA-512" hashValue="NqDaCW/fJ1fLUqozDJxk/hvCmkYMZg4P7rCpckwp+YAmJY81z7QBJRwavAxdXwxcjERbuQpa7py4cEFgk8yOvg==" saltValue="YExMsh6Pnj87dk4l7M5ICg==" spinCount="100000" sheet="1" selectLockedCells="1" sort="0" autoFilter="0" pivotTables="0"/>
  <mergeCells count="25">
    <mergeCell ref="M6:P6"/>
    <mergeCell ref="AB18:AC18"/>
    <mergeCell ref="D33:E33"/>
    <mergeCell ref="G14:I14"/>
    <mergeCell ref="D29:E29"/>
    <mergeCell ref="D30:E30"/>
    <mergeCell ref="D31:E31"/>
    <mergeCell ref="D32:E32"/>
    <mergeCell ref="G26:I26"/>
    <mergeCell ref="K26:M26"/>
    <mergeCell ref="O26:Q26"/>
    <mergeCell ref="S26:U26"/>
    <mergeCell ref="G33:I33"/>
    <mergeCell ref="K31:M31"/>
    <mergeCell ref="K33:M33"/>
    <mergeCell ref="O31:Q31"/>
    <mergeCell ref="O33:Q33"/>
    <mergeCell ref="S7:V12"/>
    <mergeCell ref="B29:C31"/>
    <mergeCell ref="B32:C33"/>
    <mergeCell ref="K15:L15"/>
    <mergeCell ref="G31:I31"/>
    <mergeCell ref="M7:P7"/>
    <mergeCell ref="S31:U31"/>
    <mergeCell ref="S33:U33"/>
  </mergeCells>
  <conditionalFormatting sqref="G31">
    <cfRule type="cellIs" dxfId="19" priority="21" operator="greaterThanOrEqual">
      <formula>0.0001</formula>
    </cfRule>
    <cfRule type="cellIs" dxfId="18" priority="22" operator="lessThan">
      <formula>0</formula>
    </cfRule>
  </conditionalFormatting>
  <conditionalFormatting sqref="G33">
    <cfRule type="cellIs" dxfId="17" priority="7" operator="lessThan">
      <formula>0</formula>
    </cfRule>
    <cfRule type="cellIs" dxfId="16" priority="8" operator="greaterThanOrEqual">
      <formula>0.00001</formula>
    </cfRule>
  </conditionalFormatting>
  <conditionalFormatting sqref="K31">
    <cfRule type="cellIs" dxfId="15" priority="13" operator="greaterThanOrEqual">
      <formula>0.0001</formula>
    </cfRule>
    <cfRule type="cellIs" dxfId="14" priority="14" operator="lessThan">
      <formula>0</formula>
    </cfRule>
  </conditionalFormatting>
  <conditionalFormatting sqref="K33">
    <cfRule type="cellIs" dxfId="13" priority="5" operator="lessThan">
      <formula>0</formula>
    </cfRule>
    <cfRule type="cellIs" dxfId="12" priority="6" operator="greaterThanOrEqual">
      <formula>0.00001</formula>
    </cfRule>
  </conditionalFormatting>
  <conditionalFormatting sqref="O31">
    <cfRule type="cellIs" dxfId="11" priority="11" operator="greaterThanOrEqual">
      <formula>0.0001</formula>
    </cfRule>
    <cfRule type="cellIs" dxfId="10" priority="12" operator="lessThan">
      <formula>0</formula>
    </cfRule>
  </conditionalFormatting>
  <conditionalFormatting sqref="O33">
    <cfRule type="cellIs" dxfId="9" priority="3" operator="lessThan">
      <formula>0</formula>
    </cfRule>
    <cfRule type="cellIs" dxfId="8" priority="4" operator="greaterThanOrEqual">
      <formula>0.00001</formula>
    </cfRule>
  </conditionalFormatting>
  <conditionalFormatting sqref="S31">
    <cfRule type="cellIs" dxfId="7" priority="9" operator="greaterThanOrEqual">
      <formula>0.0001</formula>
    </cfRule>
    <cfRule type="cellIs" dxfId="6" priority="10" operator="lessThan">
      <formula>0</formula>
    </cfRule>
  </conditionalFormatting>
  <conditionalFormatting sqref="S33">
    <cfRule type="cellIs" dxfId="5" priority="1" operator="lessThan">
      <formula>0</formula>
    </cfRule>
    <cfRule type="cellIs" dxfId="4" priority="2" operator="greaterThanOrEqual">
      <formula>0.00001</formula>
    </cfRule>
  </conditionalFormatting>
  <dataValidations count="2">
    <dataValidation type="whole" operator="greaterThan" allowBlank="1" showInputMessage="1" showErrorMessage="1" errorTitle="Incorrect Input" error="Please enter the no. of days as a numerical value only" promptTitle="No. of days" prompt="Advisable to keep a at least 21 days for revision. You may choose a lower number of days. You shall need to cover the mocks in the same time frame." sqref="I11:I12" xr:uid="{BEADF95C-0856-4486-93F3-A6CCE19C1CDE}">
      <formula1>0</formula1>
    </dataValidation>
    <dataValidation type="decimal" operator="greaterThan" allowBlank="1" showInputMessage="1" showErrorMessage="1" errorTitle="Inccorect Input" error="Please enter the No. of hours as a numerical value only" sqref="I8:I10" xr:uid="{5AB053D5-4296-4D78-8FDF-F56DFF018DB2}">
      <formula1>0</formula1>
    </dataValidation>
  </dataValidations>
  <pageMargins left="0.23622047244094491" right="0.23622047244094491" top="0.74803149606299213" bottom="0.74803149606299213" header="0.31496062992125984" footer="0.31496062992125984"/>
  <pageSetup paperSize="9" scale="65" orientation="portrait" r:id="rId1"/>
  <ignoredErrors>
    <ignoredError sqref="S31" formula="1"/>
  </ignoredErrors>
  <drawing r:id="rId2"/>
  <legacy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2962-0C4F-4E76-AA66-433D4414EB8C}">
  <sheetPr codeName="Sheet5"/>
  <dimension ref="B2:N100"/>
  <sheetViews>
    <sheetView showGridLines="0" showZeros="0" topLeftCell="A28" zoomScale="70" zoomScaleNormal="70" workbookViewId="0">
      <selection activeCell="C78" sqref="C78"/>
    </sheetView>
  </sheetViews>
  <sheetFormatPr defaultColWidth="8.7109375" defaultRowHeight="14.25"/>
  <cols>
    <col min="1" max="1" width="8.7109375" style="79"/>
    <col min="2" max="2" width="17.85546875" style="79" bestFit="1" customWidth="1"/>
    <col min="3" max="3" width="28.28515625" style="79" bestFit="1" customWidth="1"/>
    <col min="4" max="4" width="15.42578125" style="79" bestFit="1" customWidth="1"/>
    <col min="5" max="5" width="22.42578125" style="79" customWidth="1"/>
    <col min="6" max="6" width="9.5703125" style="79" customWidth="1"/>
    <col min="7" max="7" width="15.85546875" style="79" customWidth="1"/>
    <col min="8" max="8" width="10.28515625" style="79" customWidth="1"/>
    <col min="9" max="9" width="8.7109375" style="79"/>
    <col min="10" max="10" width="15.5703125" style="79" bestFit="1" customWidth="1"/>
    <col min="11" max="11" width="24.85546875" style="102" bestFit="1" customWidth="1"/>
    <col min="12" max="13" width="9.140625" style="102"/>
    <col min="14" max="14" width="26.7109375" style="79" bestFit="1" customWidth="1"/>
    <col min="15" max="16384" width="8.7109375" style="79"/>
  </cols>
  <sheetData>
    <row r="2" spans="2:14">
      <c r="B2" s="78" t="s">
        <v>111</v>
      </c>
      <c r="C2" s="78"/>
      <c r="E2" s="80" t="s">
        <v>47</v>
      </c>
      <c r="F2" s="80" t="s">
        <v>49</v>
      </c>
      <c r="G2" s="80" t="s">
        <v>52</v>
      </c>
      <c r="H2" s="80" t="s">
        <v>51</v>
      </c>
      <c r="I2" s="80" t="s">
        <v>48</v>
      </c>
      <c r="J2" s="80" t="s">
        <v>50</v>
      </c>
      <c r="K2" s="81" t="s">
        <v>46</v>
      </c>
      <c r="L2" s="79"/>
      <c r="M2" s="79"/>
    </row>
    <row r="3" spans="2:14" ht="15.75">
      <c r="B3" s="82" t="s">
        <v>54</v>
      </c>
      <c r="C3" s="11">
        <f>'⏱ Input'!T4</f>
        <v>8.9986111111111082</v>
      </c>
      <c r="D3" s="83"/>
      <c r="E3" s="84">
        <f>'📝 Instructions'!F8</f>
        <v>44845</v>
      </c>
      <c r="F3" s="85">
        <v>1</v>
      </c>
      <c r="G3" s="85">
        <f>Table134[[#This Row],[Diff %]]</f>
        <v>0</v>
      </c>
      <c r="H3" s="86">
        <v>0</v>
      </c>
      <c r="I3" s="87">
        <f>Table134[[#This Row],[Difference]]/$F$7</f>
        <v>8.81057268722467E-4</v>
      </c>
      <c r="J3" s="87"/>
      <c r="K3" s="88" t="str">
        <f>"Start "&amp;CHAR(10)&amp;TEXT(Table134[[#This Row],[YEAR]],"dd-mmm-yy")</f>
        <v>Start 
11-Oct-22</v>
      </c>
      <c r="L3" s="79"/>
      <c r="M3" s="79"/>
    </row>
    <row r="4" spans="2:14" ht="15.75">
      <c r="B4" s="82" t="s">
        <v>113</v>
      </c>
      <c r="C4" s="11">
        <f>('📊 Summary'!I10*'⏱ Input'!V4)/24</f>
        <v>13.125</v>
      </c>
      <c r="D4" s="83"/>
      <c r="E4" s="84">
        <f ca="1">TODAY()</f>
        <v>45633</v>
      </c>
      <c r="F4" s="85">
        <f ca="1">Table134[[#This Row],[YEAR]]-$E$3</f>
        <v>788</v>
      </c>
      <c r="G4" s="85">
        <f ca="1">Table134[[#This Row],[Diff %]]</f>
        <v>0.69339207048458151</v>
      </c>
      <c r="H4" s="86">
        <f ca="1">Table134[[#This Row],[%]]-I3</f>
        <v>0.69339207048458151</v>
      </c>
      <c r="I4" s="87">
        <f ca="1">Table134[[#This Row],[Difference]]/$F$7</f>
        <v>0.69427312775330396</v>
      </c>
      <c r="J4" s="89" t="str">
        <f ca="1">Table134[[#This Row],[YEAR]]-E3&amp;" days over"</f>
        <v>788 days over</v>
      </c>
      <c r="K4" s="88" t="str">
        <f ca="1">"Today "&amp;TEXT(Table134[[#This Row],[YEAR]],"dd-mmm-yy")</f>
        <v>Today 07-Dec-24</v>
      </c>
      <c r="L4" s="79"/>
      <c r="M4" s="79"/>
    </row>
    <row r="5" spans="2:14" ht="15.75">
      <c r="B5" s="76" t="s">
        <v>55</v>
      </c>
      <c r="C5" s="11">
        <f>SUM(C3:C4)</f>
        <v>22.12361111111111</v>
      </c>
      <c r="D5" s="83"/>
      <c r="E5" s="84">
        <f>E6-'📊 Summary'!I12</f>
        <v>45954</v>
      </c>
      <c r="F5" s="85">
        <f>Table134[[#This Row],[YEAR]]-$E$3</f>
        <v>1109</v>
      </c>
      <c r="G5" s="85">
        <f ca="1">Table134[[#This Row],[Diff %]]</f>
        <v>0.28281938325991185</v>
      </c>
      <c r="H5" s="86">
        <f ca="1">Table134[[#This Row],[%]]-I4</f>
        <v>0.28281938325991185</v>
      </c>
      <c r="I5" s="87">
        <f>Table134[[#This Row],[Difference]]/$F$7</f>
        <v>0.97709251101321581</v>
      </c>
      <c r="J5" s="89" t="str">
        <f ca="1">IF(E4&gt;Table134[[#This Row],[YEAR]],Table134[[#This Row],[YEAR]]-E3,Table134[[#This Row],[YEAR]]-E4)&amp;" study days left"</f>
        <v>321 study days left</v>
      </c>
      <c r="K5" s="88" t="str">
        <f>"Lecture Completed "&amp;TEXT(Table134[[#This Row],[YEAR]],"dd-mmm-yy")</f>
        <v>Lecture Completed 24-Oct-25</v>
      </c>
      <c r="L5" s="79"/>
      <c r="M5" s="79"/>
    </row>
    <row r="6" spans="2:14" ht="15.75">
      <c r="B6" s="76" t="s">
        <v>112</v>
      </c>
      <c r="C6" s="118">
        <f>C5/(((('📊 Summary'!I8*5)+('📊 Summary'!I9*2))/24)/7)</f>
        <v>130.41286549707601</v>
      </c>
      <c r="D6" s="90"/>
      <c r="E6" s="84">
        <f>E7-'📊 Summary'!I11</f>
        <v>45959</v>
      </c>
      <c r="F6" s="85">
        <f>Table134[[#This Row],[YEAR]]-$E$3</f>
        <v>1114</v>
      </c>
      <c r="G6" s="85">
        <f>Table134[[#This Row],[Diff %]]</f>
        <v>4.405286343612369E-3</v>
      </c>
      <c r="H6" s="86">
        <f>Table134[[#This Row],[%]]-I5</f>
        <v>4.405286343612369E-3</v>
      </c>
      <c r="I6" s="87">
        <f>Table134[[#This Row],[Difference]]/$F$7</f>
        <v>0.98149779735682818</v>
      </c>
      <c r="J6" s="89" t="str">
        <f>Table134[[#This Row],[YEAR]]-E5&amp;"  buffer days"</f>
        <v>5  buffer days</v>
      </c>
      <c r="K6" s="88" t="str">
        <f>"Start Revision "&amp;TEXT(Table134[[#This Row],[YEAR]],"dd-mmm-yy")</f>
        <v>Start Revision 29-Oct-25</v>
      </c>
      <c r="L6" s="79"/>
      <c r="M6" s="79"/>
    </row>
    <row r="7" spans="2:14">
      <c r="E7" s="84">
        <f>'📝 Instructions'!F9</f>
        <v>45980</v>
      </c>
      <c r="F7" s="85">
        <f>Table134[[#This Row],[YEAR]]-$E$3</f>
        <v>1135</v>
      </c>
      <c r="G7" s="85">
        <f>Table134[[#This Row],[Diff %]]</f>
        <v>1.8502202643171817E-2</v>
      </c>
      <c r="H7" s="86">
        <f>Table134[[#This Row],[%]]-I6</f>
        <v>1.8502202643171817E-2</v>
      </c>
      <c r="I7" s="87">
        <f>Table134[[#This Row],[Difference]]/$F$7</f>
        <v>1</v>
      </c>
      <c r="J7" s="89" t="str">
        <f>Table134[[#This Row],[YEAR]]-E6&amp;" revision days"</f>
        <v>21 revision days</v>
      </c>
      <c r="K7" s="88" t="str">
        <f>"Exam "&amp;TEXT(Table134[[#This Row],[YEAR]],"dd-mmm-yy")</f>
        <v>Exam 19-Nov-25</v>
      </c>
      <c r="L7" s="79"/>
      <c r="M7" s="79"/>
    </row>
    <row r="8" spans="2:14" ht="15.75">
      <c r="B8" s="79" t="s">
        <v>114</v>
      </c>
      <c r="C8" s="11">
        <f ca="1">('⏱ Input'!T4-'⏱ Input'!T5)/F17</f>
        <v>0.19623139494634817</v>
      </c>
      <c r="E8" s="91"/>
      <c r="F8" s="92"/>
      <c r="G8" s="92"/>
      <c r="H8" s="93">
        <f ca="1">SUBTOTAL(109,Table134[Diff %])</f>
        <v>0.99911894273127755</v>
      </c>
      <c r="I8" s="94"/>
      <c r="J8" s="95"/>
      <c r="K8" s="96"/>
      <c r="L8" s="79"/>
      <c r="M8" s="79"/>
    </row>
    <row r="9" spans="2:14" ht="18.75">
      <c r="C9" s="97"/>
      <c r="E9" s="98"/>
      <c r="F9" s="99"/>
      <c r="G9" s="99"/>
      <c r="H9" s="100"/>
      <c r="I9" s="101"/>
      <c r="J9" s="102"/>
      <c r="K9" s="79"/>
      <c r="L9" s="79"/>
      <c r="M9" s="79"/>
    </row>
    <row r="10" spans="2:14" ht="31.5">
      <c r="B10" s="74" t="s">
        <v>36</v>
      </c>
      <c r="C10" s="75">
        <f ca="1">'📝 Instructions'!F9-TODAY()</f>
        <v>347</v>
      </c>
      <c r="E10" s="98"/>
      <c r="F10" s="99"/>
      <c r="G10" s="99"/>
      <c r="H10" s="100"/>
      <c r="I10" s="101"/>
      <c r="J10" s="102"/>
      <c r="K10" s="79"/>
      <c r="L10" s="79"/>
      <c r="M10" s="79"/>
    </row>
    <row r="11" spans="2:14" ht="15.75">
      <c r="B11" s="76" t="s">
        <v>53</v>
      </c>
      <c r="C11" s="75">
        <f ca="1">IF(C10&lt;SUM('📊 Summary'!I11:I12),0,C10-'📊 Summary'!I11-'📊 Summary'!I12)</f>
        <v>321</v>
      </c>
      <c r="E11" s="98"/>
      <c r="F11" s="99"/>
      <c r="G11" s="99"/>
      <c r="H11" s="100"/>
      <c r="I11" s="101"/>
      <c r="J11" s="102"/>
      <c r="K11" s="79"/>
      <c r="L11" s="79"/>
      <c r="M11" s="79"/>
    </row>
    <row r="12" spans="2:14" ht="15.75">
      <c r="B12" s="76" t="s">
        <v>43</v>
      </c>
      <c r="C12" s="77">
        <f>((('📊 Summary'!I8*5)+('📊 Summary'!I9*2))/7)*F21</f>
        <v>36.637202380952367</v>
      </c>
      <c r="E12" s="98"/>
      <c r="F12" s="99"/>
      <c r="G12" s="99"/>
      <c r="H12" s="100"/>
      <c r="I12" s="101"/>
      <c r="J12" s="102"/>
      <c r="K12" s="79"/>
      <c r="L12" s="79"/>
      <c r="M12" s="79"/>
    </row>
    <row r="14" spans="2:14" ht="15.75">
      <c r="B14" s="304"/>
      <c r="C14" s="305" t="s">
        <v>42</v>
      </c>
      <c r="D14" s="305"/>
      <c r="E14" s="305"/>
      <c r="F14" s="103" t="s">
        <v>40</v>
      </c>
      <c r="G14" s="104"/>
    </row>
    <row r="15" spans="2:14" ht="31.5">
      <c r="B15" s="304"/>
      <c r="C15" s="104" t="s">
        <v>37</v>
      </c>
      <c r="D15" s="104" t="s">
        <v>38</v>
      </c>
      <c r="E15" s="104" t="s">
        <v>56</v>
      </c>
      <c r="F15" s="104" t="s">
        <v>41</v>
      </c>
      <c r="G15" s="104" t="s">
        <v>92</v>
      </c>
      <c r="K15" s="79"/>
      <c r="N15" s="102"/>
    </row>
    <row r="16" spans="2:14" ht="31.5">
      <c r="B16" s="105" t="s">
        <v>45</v>
      </c>
      <c r="C16" s="106">
        <f ca="1">('⏱ Input'!V4/('📝 Instructions'!F9-'📝 Instructions'!F8-'📊 Summary'!I11-'📊 Summary'!I12))*(TODAY()-'📝 Instructions'!F8)</f>
        <v>44.764652840396749</v>
      </c>
      <c r="D16" s="106">
        <f>SUMIFS(Master_Data[No. of Chapters],Master_Data[Lectures],"d",Master_Data[Self Study],"d")</f>
        <v>0</v>
      </c>
      <c r="E16" s="15">
        <f ca="1">IF((D16-C16)/C16&gt;0,"+"&amp;ROUND(((D16-C16)/C16)*100,0)&amp;"%",ROUND(((D16-C16)/C16),2))</f>
        <v>-1</v>
      </c>
      <c r="F16" s="106">
        <f>SUMIFS(Master_Data[No. of Chapters],Master_Data[Lectures],"U",Master_Data[Self Study],"U")</f>
        <v>63</v>
      </c>
      <c r="G16" s="14" t="str">
        <f>IFERROR(IF((F16-D16)/F16&gt;0,"+"&amp;ROUND(((F16-D16)/F16)*100,0)&amp;"%",ROUND(((F16-D16)/F16),2)),"-")</f>
        <v>+100%</v>
      </c>
      <c r="H16" s="125"/>
      <c r="K16" s="79"/>
      <c r="N16" s="102"/>
    </row>
    <row r="17" spans="2:14" ht="31.5">
      <c r="B17" s="105" t="s">
        <v>73</v>
      </c>
      <c r="C17" s="72">
        <f ca="1">C18/7</f>
        <v>112.57142857142857</v>
      </c>
      <c r="D17" s="72">
        <f ca="1">D18/7</f>
        <v>112.57142857142857</v>
      </c>
      <c r="E17" s="15"/>
      <c r="F17" s="72">
        <f ca="1">F18/7</f>
        <v>45.857142857142854</v>
      </c>
      <c r="G17" s="14"/>
      <c r="K17" s="79"/>
      <c r="N17" s="102"/>
    </row>
    <row r="18" spans="2:14" ht="31.5">
      <c r="B18" s="105" t="s">
        <v>74</v>
      </c>
      <c r="C18" s="73">
        <f ca="1">TODAY()-'📝 Instructions'!F8</f>
        <v>788</v>
      </c>
      <c r="D18" s="73">
        <f ca="1">TODAY()-'📝 Instructions'!F8</f>
        <v>788</v>
      </c>
      <c r="E18" s="15"/>
      <c r="F18" s="73">
        <f ca="1">IF(C10&lt;SUM('📊 Summary'!I11:I12),0,Working!C10-'📊 Summary'!I11-'📊 Summary'!I12)</f>
        <v>321</v>
      </c>
      <c r="G18" s="14"/>
      <c r="K18" s="79"/>
      <c r="N18" s="102"/>
    </row>
    <row r="19" spans="2:14" ht="31.5">
      <c r="B19" s="105" t="s">
        <v>67</v>
      </c>
      <c r="C19" s="11">
        <f ca="1">((('📊 Summary'!$I$8*5)+('📊 Summary'!$I$9*2))/24)*Working!C17</f>
        <v>133.67857142857142</v>
      </c>
      <c r="D19" s="11">
        <f ca="1">((('📊 Summary'!$I$8*5)+('📊 Summary'!$I$9*2))/24)*Working!D17</f>
        <v>133.67857142857142</v>
      </c>
      <c r="E19" s="15"/>
      <c r="F19" s="11">
        <f ca="1">((('📊 Summary'!$I$8*5)+('📊 Summary'!$I$9*2))/24)*Working!F17</f>
        <v>54.455357142857139</v>
      </c>
      <c r="G19" s="14"/>
      <c r="K19" s="79"/>
      <c r="N19" s="102"/>
    </row>
    <row r="20" spans="2:14" ht="47.25">
      <c r="B20" s="107" t="s">
        <v>68</v>
      </c>
      <c r="C20" s="9">
        <f ca="1">C21+C22</f>
        <v>15.719932872457667</v>
      </c>
      <c r="D20" s="9">
        <f>D21+D22</f>
        <v>0</v>
      </c>
      <c r="E20" s="15">
        <f t="shared" ref="E20:E22" ca="1" si="0">IF((D20-C20)/C20&gt;0,"+"&amp;ROUND(((D20-C20)/C20)*100,0)&amp;"%",ROUND(((D20-C20)/C20),2))</f>
        <v>-1</v>
      </c>
      <c r="F20" s="9">
        <f>F21+F22</f>
        <v>22.12361111111111</v>
      </c>
      <c r="G20" s="14" t="str">
        <f t="shared" ref="G20:G22" si="1">IFERROR(IF((F20-D20)/F20&gt;0,"+"&amp;ROUND(((F20-D20)/F20)*100,0)&amp;"%",ROUND(((F20-D20)/F20),2)),"-")</f>
        <v>+100%</v>
      </c>
    </row>
    <row r="21" spans="2:14" ht="31.5">
      <c r="B21" s="108" t="s">
        <v>71</v>
      </c>
      <c r="C21" s="11">
        <f ca="1">((TODAY()-'📝 Instructions'!F8)/('📝 Instructions'!F9-'📝 Instructions'!F8-'📊 Summary'!I11-'📊 Summary'!I12))*'⏱ Input'!T4</f>
        <v>6.3939635307083442</v>
      </c>
      <c r="D21" s="11">
        <f>SUMIF(Master_Data[Lectures],"d",Master_Data[Duration (hh:mm)])</f>
        <v>0</v>
      </c>
      <c r="E21" s="15">
        <f t="shared" ca="1" si="0"/>
        <v>-1</v>
      </c>
      <c r="F21" s="11">
        <f>SUMIF(Master_Data[Lectures],"u",Master_Data[Duration (hh:mm)])</f>
        <v>8.9986111111111082</v>
      </c>
      <c r="G21" s="14" t="str">
        <f t="shared" si="1"/>
        <v>+100%</v>
      </c>
    </row>
    <row r="22" spans="2:14" ht="47.25">
      <c r="B22" s="108" t="s">
        <v>75</v>
      </c>
      <c r="C22" s="11">
        <f ca="1">C16*('📊 Summary'!$I$10/24)</f>
        <v>9.3259693417493228</v>
      </c>
      <c r="D22" s="11">
        <f>D16*('📊 Summary'!$I$10/24)</f>
        <v>0</v>
      </c>
      <c r="E22" s="15">
        <f t="shared" ca="1" si="0"/>
        <v>-1</v>
      </c>
      <c r="F22" s="11">
        <f>F16*('📊 Summary'!$I$10/24)</f>
        <v>13.125</v>
      </c>
      <c r="G22" s="14" t="str">
        <f t="shared" si="1"/>
        <v>+100%</v>
      </c>
    </row>
    <row r="23" spans="2:14" ht="15.75">
      <c r="B23" s="107" t="s">
        <v>69</v>
      </c>
      <c r="C23" s="11"/>
      <c r="D23" s="11"/>
      <c r="E23" s="15"/>
      <c r="F23" s="11"/>
      <c r="G23" s="14"/>
    </row>
    <row r="24" spans="2:14" ht="31.5">
      <c r="B24" s="107" t="s">
        <v>76</v>
      </c>
      <c r="C24" s="124">
        <f ca="1">C16/C$17</f>
        <v>0.39765554553651933</v>
      </c>
      <c r="D24" s="124">
        <f ca="1">D16/D$17</f>
        <v>0</v>
      </c>
      <c r="E24" s="15">
        <f t="shared" ref="E24:E27" ca="1" si="2">IF((D24-C24)/C24&gt;0,"+"&amp;ROUND(((D24-C24)/C24)*100,0)&amp;"%",ROUND(((D24-C24)/C24),2))</f>
        <v>-1</v>
      </c>
      <c r="F24" s="124">
        <f ca="1">IFERROR(F16/F$17,"-")</f>
        <v>1.3738317757009346</v>
      </c>
      <c r="G24" s="14" t="str">
        <f ca="1">IFERROR(IF((F24-D24)/F24&gt;0,"+"&amp;ROUND(((F24-D24)/F24)*100,0)&amp;"%",ROUND(((F24-D24)/F24),2)),"-")</f>
        <v>+100%</v>
      </c>
      <c r="H24" s="125"/>
    </row>
    <row r="25" spans="2:14" ht="31.5">
      <c r="B25" s="107" t="s">
        <v>72</v>
      </c>
      <c r="C25" s="9">
        <f ca="1">C26+C27</f>
        <v>0.13964407374010618</v>
      </c>
      <c r="D25" s="9">
        <f ca="1">D26+D27</f>
        <v>0</v>
      </c>
      <c r="E25" s="15">
        <f t="shared" ca="1" si="2"/>
        <v>-1</v>
      </c>
      <c r="F25" s="9">
        <f ca="1">IFERROR(F26+F27,"-")</f>
        <v>0.48244634821737625</v>
      </c>
      <c r="G25" s="14" t="str">
        <f t="shared" ref="G25:G27" ca="1" si="3">IFERROR(IF((F25-D25)/F25&gt;0,"+"&amp;ROUND(((F25-D25)/F25)*100,0)&amp;"%",ROUND(((F25-D25)/F25),2)),"-")</f>
        <v>+100%</v>
      </c>
    </row>
    <row r="26" spans="2:14" ht="31.5">
      <c r="B26" s="108" t="s">
        <v>71</v>
      </c>
      <c r="C26" s="11">
        <f ca="1">C21/C$17</f>
        <v>5.6799168419997985E-2</v>
      </c>
      <c r="D26" s="11">
        <f ca="1">D21/D$17</f>
        <v>0</v>
      </c>
      <c r="E26" s="15">
        <f t="shared" ca="1" si="2"/>
        <v>-1</v>
      </c>
      <c r="F26" s="11">
        <f ca="1">IFERROR(F21/F$17,"-")</f>
        <v>0.19623139494634817</v>
      </c>
      <c r="G26" s="14" t="str">
        <f t="shared" ca="1" si="3"/>
        <v>+100%</v>
      </c>
    </row>
    <row r="27" spans="2:14" ht="47.25">
      <c r="B27" s="108" t="s">
        <v>75</v>
      </c>
      <c r="C27" s="11">
        <f ca="1">C22/C$17</f>
        <v>8.28449053201082E-2</v>
      </c>
      <c r="D27" s="11">
        <f ca="1">D22/D$17</f>
        <v>0</v>
      </c>
      <c r="E27" s="15">
        <f t="shared" ca="1" si="2"/>
        <v>-1</v>
      </c>
      <c r="F27" s="11">
        <f ca="1">IFERROR(F22/F$17,"-")</f>
        <v>0.28621495327102808</v>
      </c>
      <c r="G27" s="14" t="str">
        <f t="shared" ca="1" si="3"/>
        <v>+100%</v>
      </c>
    </row>
    <row r="28" spans="2:14" ht="15.75">
      <c r="B28" s="107" t="s">
        <v>70</v>
      </c>
      <c r="C28" s="11"/>
      <c r="D28" s="11"/>
      <c r="E28" s="15"/>
      <c r="F28" s="11"/>
      <c r="G28" s="14"/>
    </row>
    <row r="29" spans="2:14" ht="31.5">
      <c r="B29" s="107" t="s">
        <v>76</v>
      </c>
      <c r="C29" s="124">
        <f ca="1">C16/C$18</f>
        <v>5.6807935076645624E-2</v>
      </c>
      <c r="D29" s="124">
        <f ca="1">D16/D$18</f>
        <v>0</v>
      </c>
      <c r="E29" s="15">
        <f t="shared" ref="E29:E32" ca="1" si="4">IF((D29-C29)/C29&gt;0,"+"&amp;ROUND(((D29-C29)/C29)*100,0)&amp;"%",ROUND(((D29-C29)/C29),2))</f>
        <v>-1</v>
      </c>
      <c r="F29" s="124">
        <f ca="1">IFERROR(F16/F$18,"-")</f>
        <v>0.19626168224299065</v>
      </c>
      <c r="G29" s="14" t="str">
        <f t="shared" ref="G29:G32" ca="1" si="5">IFERROR(IF((F29-D29)/F29&gt;0,"+"&amp;ROUND(((F29-D29)/F29)*100,0)&amp;"%",ROUND(((F29-D29)/F29),2)),"-")</f>
        <v>+100%</v>
      </c>
    </row>
    <row r="30" spans="2:14" ht="31.5">
      <c r="B30" s="107" t="s">
        <v>72</v>
      </c>
      <c r="C30" s="9">
        <f ca="1">C31+C32</f>
        <v>1.9949153391443743E-2</v>
      </c>
      <c r="D30" s="9">
        <f ca="1">D31+D32</f>
        <v>0</v>
      </c>
      <c r="E30" s="15">
        <f t="shared" ca="1" si="4"/>
        <v>-1</v>
      </c>
      <c r="F30" s="9">
        <f ca="1">IFERROR(F31+F32,"-")</f>
        <v>6.8920906888196604E-2</v>
      </c>
      <c r="G30" s="14" t="str">
        <f t="shared" ca="1" si="5"/>
        <v>+100%</v>
      </c>
    </row>
    <row r="31" spans="2:14" ht="31.5">
      <c r="B31" s="108" t="s">
        <v>71</v>
      </c>
      <c r="C31" s="11">
        <f ca="1">C21/C$18</f>
        <v>8.1141669171425693E-3</v>
      </c>
      <c r="D31" s="11">
        <f ca="1">D21/D$18</f>
        <v>0</v>
      </c>
      <c r="E31" s="15">
        <f t="shared" ca="1" si="4"/>
        <v>-1</v>
      </c>
      <c r="F31" s="11">
        <f ca="1">IFERROR(F21/F$18,"-")</f>
        <v>2.8033056420906879E-2</v>
      </c>
      <c r="G31" s="14" t="str">
        <f t="shared" ca="1" si="5"/>
        <v>+100%</v>
      </c>
    </row>
    <row r="32" spans="2:14" ht="47.25">
      <c r="B32" s="108" t="s">
        <v>75</v>
      </c>
      <c r="C32" s="11">
        <f ca="1">C22/C$18</f>
        <v>1.1834986474301172E-2</v>
      </c>
      <c r="D32" s="11">
        <f ca="1">D22/D$18</f>
        <v>0</v>
      </c>
      <c r="E32" s="15">
        <f t="shared" ca="1" si="4"/>
        <v>-1</v>
      </c>
      <c r="F32" s="11">
        <f ca="1">IFERROR(F22/F$18,"-")</f>
        <v>4.0887850467289717E-2</v>
      </c>
      <c r="G32" s="14" t="str">
        <f t="shared" ca="1" si="5"/>
        <v>+100%</v>
      </c>
    </row>
    <row r="33" spans="2:7" ht="15.75">
      <c r="B33" s="109"/>
      <c r="C33" s="83"/>
      <c r="D33" s="83"/>
      <c r="E33" s="110"/>
      <c r="F33" s="83"/>
      <c r="G33" s="69"/>
    </row>
    <row r="34" spans="2:7" ht="15.75">
      <c r="B34" s="119" t="s">
        <v>61</v>
      </c>
      <c r="C34" s="119"/>
      <c r="D34" s="83"/>
      <c r="E34" s="110"/>
      <c r="F34" s="83"/>
      <c r="G34" s="69"/>
    </row>
    <row r="35" spans="2:7" ht="15.75">
      <c r="B35" s="120" t="s">
        <v>57</v>
      </c>
      <c r="C35" s="83">
        <f ca="1">(C42*((('📊 Summary'!I8*5)/24)/((('📊 Summary'!I8*5)+('📊 Summary'!I9*2))/24)))/5</f>
        <v>4.2319855106787395E-2</v>
      </c>
      <c r="D35" s="83"/>
      <c r="E35" s="110"/>
      <c r="F35" s="83"/>
      <c r="G35" s="69"/>
    </row>
    <row r="36" spans="2:7" ht="15.75">
      <c r="B36" s="120" t="s">
        <v>58</v>
      </c>
      <c r="C36" s="83">
        <f ca="1">(C42*((('📊 Summary'!I9*2)/24)/((('📊 Summary'!I8*5)+('📊 Summary'!I9*2))/24)))/2</f>
        <v>0.13542353634171964</v>
      </c>
      <c r="D36" s="83"/>
      <c r="E36" s="110"/>
      <c r="F36" s="83"/>
      <c r="G36" s="69"/>
    </row>
    <row r="37" spans="2:7" ht="15.75">
      <c r="B37" s="121"/>
      <c r="C37" s="121"/>
      <c r="D37" s="83"/>
      <c r="E37" s="110"/>
      <c r="F37" s="83"/>
      <c r="G37" s="69"/>
    </row>
    <row r="38" spans="2:7" ht="15.75">
      <c r="B38" s="119" t="s">
        <v>59</v>
      </c>
      <c r="C38" s="83"/>
      <c r="D38" s="83"/>
      <c r="E38" s="110"/>
      <c r="F38" s="83"/>
      <c r="G38" s="69"/>
    </row>
    <row r="39" spans="2:7" ht="15.75">
      <c r="B39" s="122" t="s">
        <v>54</v>
      </c>
      <c r="C39" s="83">
        <f>F21</f>
        <v>8.9986111111111082</v>
      </c>
      <c r="D39" s="83"/>
      <c r="E39" s="110"/>
      <c r="F39" s="83"/>
      <c r="G39" s="69"/>
    </row>
    <row r="40" spans="2:7" ht="15.75">
      <c r="B40" s="122" t="s">
        <v>23</v>
      </c>
      <c r="C40" s="83">
        <f>F22</f>
        <v>13.125</v>
      </c>
      <c r="D40" s="83"/>
      <c r="E40" s="110"/>
      <c r="F40" s="83"/>
      <c r="G40" s="69"/>
    </row>
    <row r="41" spans="2:7" ht="15.75">
      <c r="B41" s="120" t="s">
        <v>55</v>
      </c>
      <c r="C41" s="123">
        <f>SUM(C39:C40)</f>
        <v>22.12361111111111</v>
      </c>
      <c r="D41" s="83"/>
      <c r="E41" s="110"/>
      <c r="F41" s="83"/>
      <c r="G41" s="69"/>
    </row>
    <row r="42" spans="2:7" ht="15.75">
      <c r="B42" s="120" t="s">
        <v>60</v>
      </c>
      <c r="C42" s="83">
        <f ca="1">C41/F17</f>
        <v>0.48244634821737625</v>
      </c>
      <c r="D42" s="83"/>
      <c r="E42" s="110"/>
      <c r="F42" s="83"/>
      <c r="G42" s="69"/>
    </row>
    <row r="43" spans="2:7" ht="15.75">
      <c r="B43" s="109"/>
      <c r="C43" s="83"/>
      <c r="D43" s="83"/>
      <c r="E43" s="110"/>
      <c r="F43" s="83"/>
      <c r="G43" s="69"/>
    </row>
    <row r="44" spans="2:7" ht="15.75">
      <c r="B44" s="109"/>
      <c r="C44" s="83"/>
      <c r="D44" s="83"/>
      <c r="E44" s="110"/>
      <c r="F44" s="83"/>
      <c r="G44" s="69"/>
    </row>
    <row r="45" spans="2:7">
      <c r="C45" s="102"/>
      <c r="D45" s="102"/>
    </row>
    <row r="46" spans="2:7">
      <c r="B46" s="111" t="s">
        <v>10</v>
      </c>
      <c r="C46" s="78"/>
      <c r="D46" s="78"/>
      <c r="E46" s="78"/>
    </row>
    <row r="47" spans="2:7">
      <c r="B47" s="78" t="s">
        <v>12</v>
      </c>
      <c r="C47" s="112">
        <f>D47/$D$51</f>
        <v>0</v>
      </c>
      <c r="D47" s="78">
        <f>SUMIFS(Master_Data[No. of Chapters],Master_Data[Lectures],"d",Master_Data[Self Study],"d")</f>
        <v>0</v>
      </c>
      <c r="E47" s="112" t="str">
        <f>IF(C47=0,"",CONCATENATE(B47,", ",ROUND(D47,0)))</f>
        <v/>
      </c>
    </row>
    <row r="48" spans="2:7">
      <c r="B48" s="78" t="s">
        <v>129</v>
      </c>
      <c r="C48" s="112">
        <f t="shared" ref="C48:C51" ca="1" si="6">D48/$D$51</f>
        <v>0</v>
      </c>
      <c r="D48" s="113">
        <f ca="1">IF(C16&lt;D16,D16-C16,0)</f>
        <v>0</v>
      </c>
      <c r="E48" s="112" t="str">
        <f t="shared" ref="E48:E50" ca="1" si="7">IF(C48=0,"",CONCATENATE(B48,", ",ROUND(D48,0)))</f>
        <v/>
      </c>
    </row>
    <row r="49" spans="2:14">
      <c r="B49" s="78" t="s">
        <v>130</v>
      </c>
      <c r="C49" s="112">
        <f t="shared" ca="1" si="6"/>
        <v>0.71055004508566266</v>
      </c>
      <c r="D49" s="113">
        <f ca="1">IF(C16&gt;D16,C16-D16,0)</f>
        <v>44.764652840396749</v>
      </c>
      <c r="E49" s="112" t="str">
        <f t="shared" ca="1" si="7"/>
        <v>Extra Undone, 45</v>
      </c>
    </row>
    <row r="50" spans="2:14">
      <c r="B50" s="78" t="s">
        <v>13</v>
      </c>
      <c r="C50" s="112">
        <f t="shared" ca="1" si="6"/>
        <v>0.28944995491433734</v>
      </c>
      <c r="D50" s="114">
        <f ca="1">D51-D47-D49</f>
        <v>18.235347159603251</v>
      </c>
      <c r="E50" s="112" t="str">
        <f t="shared" ca="1" si="7"/>
        <v>Undone, 18</v>
      </c>
    </row>
    <row r="51" spans="2:14">
      <c r="B51" s="78" t="s">
        <v>7</v>
      </c>
      <c r="C51" s="112">
        <f t="shared" si="6"/>
        <v>1</v>
      </c>
      <c r="D51" s="114">
        <f>'⏱ Input'!V4</f>
        <v>63</v>
      </c>
      <c r="E51" s="112"/>
    </row>
    <row r="53" spans="2:14">
      <c r="B53" s="111" t="s">
        <v>127</v>
      </c>
      <c r="C53" s="78"/>
      <c r="D53" s="78"/>
      <c r="E53" s="78"/>
      <c r="N53" s="115"/>
    </row>
    <row r="54" spans="2:14">
      <c r="B54" s="78" t="s">
        <v>12</v>
      </c>
      <c r="C54" s="112">
        <f>D54/$D$58</f>
        <v>0</v>
      </c>
      <c r="D54" s="127">
        <f>'⏱ Input'!T5</f>
        <v>0</v>
      </c>
      <c r="E54" s="78" t="str">
        <f>IF(C54=0,"",CONCATENATE(B54,", ",TEXT(D54,"[h]")))</f>
        <v/>
      </c>
      <c r="G54" s="115"/>
    </row>
    <row r="55" spans="2:14">
      <c r="B55" s="78" t="s">
        <v>129</v>
      </c>
      <c r="C55" s="112">
        <f t="shared" ref="C55:C58" ca="1" si="8">D55/$D$58</f>
        <v>0</v>
      </c>
      <c r="D55" s="127">
        <f ca="1">IF(C21&lt;D21,D21-C21,0)</f>
        <v>0</v>
      </c>
      <c r="E55" s="112" t="str">
        <f ca="1">IF(C55=0,"",CONCATENATE(B55,", ",TEXT(D55,"[h]")))</f>
        <v/>
      </c>
    </row>
    <row r="56" spans="2:14">
      <c r="B56" s="78" t="s">
        <v>130</v>
      </c>
      <c r="C56" s="112">
        <f t="shared" ca="1" si="8"/>
        <v>0.71055004508566277</v>
      </c>
      <c r="D56" s="127">
        <f ca="1">IF(C21&gt;D21,C21-D21,0)</f>
        <v>6.3939635307083442</v>
      </c>
      <c r="E56" s="112" t="str">
        <f ca="1">IF(C56=0,"",CONCATENATE(B56,", ",TEXT(D56,"[h]")))</f>
        <v>Extra Undone, 153</v>
      </c>
    </row>
    <row r="57" spans="2:14">
      <c r="B57" s="78" t="s">
        <v>13</v>
      </c>
      <c r="C57" s="112">
        <f t="shared" ca="1" si="8"/>
        <v>0.28944995491433717</v>
      </c>
      <c r="D57" s="127">
        <f ca="1">D58-D54-D56</f>
        <v>2.604647580402764</v>
      </c>
      <c r="E57" s="112" t="str">
        <f ca="1">IF(C57=0,"",CONCATENATE(B57,", ",TEXT(D57,"[h]")))</f>
        <v>Undone, 62</v>
      </c>
    </row>
    <row r="58" spans="2:14">
      <c r="B58" s="78" t="s">
        <v>7</v>
      </c>
      <c r="C58" s="112">
        <f t="shared" si="8"/>
        <v>1</v>
      </c>
      <c r="D58" s="127">
        <f>'⏱ Input'!T4</f>
        <v>8.9986111111111082</v>
      </c>
      <c r="E58" s="112"/>
    </row>
    <row r="60" spans="2:14">
      <c r="B60" s="111" t="s">
        <v>128</v>
      </c>
      <c r="C60" s="78"/>
      <c r="D60" s="78"/>
      <c r="E60" s="78"/>
    </row>
    <row r="61" spans="2:14">
      <c r="B61" s="78" t="s">
        <v>12</v>
      </c>
      <c r="C61" s="112">
        <f>D61/$D$65</f>
        <v>0</v>
      </c>
      <c r="D61" s="127">
        <f>'⏱ Input'!W5*('📊 Summary'!I10/24)</f>
        <v>0</v>
      </c>
      <c r="E61" s="112" t="str">
        <f>IF(C61=0,"",CONCATENATE(B61,", ",TEXT(D61,"[h]")))</f>
        <v/>
      </c>
    </row>
    <row r="62" spans="2:14">
      <c r="B62" s="78" t="s">
        <v>129</v>
      </c>
      <c r="C62" s="112">
        <f t="shared" ref="C62:C65" ca="1" si="9">D62/$D$65</f>
        <v>0</v>
      </c>
      <c r="D62" s="127">
        <f ca="1">IF(C22&lt;D22,D22-C22,0)</f>
        <v>0</v>
      </c>
      <c r="E62" s="112" t="str">
        <f ca="1">IF(C62=0,"",CONCATENATE(B62,", ",TEXT(D62,"[h]")))</f>
        <v/>
      </c>
    </row>
    <row r="63" spans="2:14">
      <c r="B63" s="78" t="s">
        <v>130</v>
      </c>
      <c r="C63" s="112">
        <f t="shared" ca="1" si="9"/>
        <v>0.71055004508566266</v>
      </c>
      <c r="D63" s="127">
        <f ca="1">IF(C22&gt;D22,C22-D22,0)</f>
        <v>9.3259693417493228</v>
      </c>
      <c r="E63" s="112" t="str">
        <f ca="1">IF(C63=0,"",CONCATENATE(B63,", ",TEXT(D63,"[h]")))</f>
        <v>Extra Undone, 223</v>
      </c>
    </row>
    <row r="64" spans="2:14">
      <c r="B64" s="78" t="s">
        <v>13</v>
      </c>
      <c r="C64" s="112">
        <f t="shared" ca="1" si="9"/>
        <v>0.28944995491433734</v>
      </c>
      <c r="D64" s="127">
        <f ca="1">D65-D61-D63</f>
        <v>3.7990306582506772</v>
      </c>
      <c r="E64" s="112" t="str">
        <f ca="1">IF(C64=0,"",CONCATENATE(B64,", ",TEXT(D64,"[h]")))</f>
        <v>Undone, 91</v>
      </c>
    </row>
    <row r="65" spans="2:5">
      <c r="B65" s="78" t="s">
        <v>7</v>
      </c>
      <c r="C65" s="112">
        <f t="shared" si="9"/>
        <v>1</v>
      </c>
      <c r="D65" s="127">
        <f>'⏱ Input'!V4*('📊 Summary'!I10/24)</f>
        <v>13.125</v>
      </c>
      <c r="E65" s="112"/>
    </row>
    <row r="66" spans="2:5">
      <c r="C66" s="125"/>
      <c r="D66" s="126"/>
      <c r="E66" s="125"/>
    </row>
    <row r="67" spans="2:5">
      <c r="B67" s="111" t="s">
        <v>139</v>
      </c>
      <c r="C67" s="78"/>
      <c r="D67" s="78"/>
      <c r="E67" s="78"/>
    </row>
    <row r="68" spans="2:5">
      <c r="B68" s="78" t="s">
        <v>12</v>
      </c>
      <c r="C68" s="112">
        <f>D68/$D$72</f>
        <v>0</v>
      </c>
      <c r="D68" s="127">
        <f>D20</f>
        <v>0</v>
      </c>
      <c r="E68" s="112" t="str">
        <f>IF(C68=0,"",CONCATENATE(B68,", ",TEXT(D68,"[h]")))</f>
        <v/>
      </c>
    </row>
    <row r="69" spans="2:5">
      <c r="B69" s="78" t="s">
        <v>129</v>
      </c>
      <c r="C69" s="112">
        <f t="shared" ref="C69:C72" ca="1" si="10">D69/$D$72</f>
        <v>0</v>
      </c>
      <c r="D69" s="127">
        <f ca="1">IF(C20&lt;D20,D20-C20,0)</f>
        <v>0</v>
      </c>
      <c r="E69" s="112" t="str">
        <f ca="1">IF(C69=0,"",CONCATENATE(B69,", ",TEXT(D69,"[h]")))</f>
        <v/>
      </c>
    </row>
    <row r="70" spans="2:5">
      <c r="B70" s="78" t="s">
        <v>130</v>
      </c>
      <c r="C70" s="112">
        <f t="shared" ca="1" si="10"/>
        <v>0.71055004508566266</v>
      </c>
      <c r="D70" s="127">
        <f ca="1">IF(C20&gt;D20,C20-D20,0)</f>
        <v>15.719932872457667</v>
      </c>
      <c r="E70" s="112" t="str">
        <f ca="1">IF(C70=0,"",CONCATENATE(B70,", ",TEXT(D70,"[h]")))</f>
        <v>Extra Undone, 377</v>
      </c>
    </row>
    <row r="71" spans="2:5">
      <c r="B71" s="78" t="s">
        <v>13</v>
      </c>
      <c r="C71" s="112">
        <f t="shared" ca="1" si="10"/>
        <v>0.28944995491433734</v>
      </c>
      <c r="D71" s="127">
        <f ca="1">D72-D68-D70</f>
        <v>6.403678238653443</v>
      </c>
      <c r="E71" s="112" t="str">
        <f ca="1">IF(C71=0,"",CONCATENATE(B71,", ",TEXT(D71,"[h]")))</f>
        <v>Undone, 153</v>
      </c>
    </row>
    <row r="72" spans="2:5">
      <c r="B72" s="78" t="s">
        <v>7</v>
      </c>
      <c r="C72" s="112">
        <f t="shared" si="10"/>
        <v>1</v>
      </c>
      <c r="D72" s="127">
        <f t="shared" ref="D72" si="11">D58+D65</f>
        <v>22.12361111111111</v>
      </c>
      <c r="E72" s="112"/>
    </row>
    <row r="73" spans="2:5">
      <c r="C73" s="125"/>
      <c r="D73" s="126"/>
      <c r="E73" s="125"/>
    </row>
    <row r="74" spans="2:5">
      <c r="C74" s="125"/>
      <c r="D74" s="126"/>
      <c r="E74" s="125"/>
    </row>
    <row r="75" spans="2:5">
      <c r="C75" s="125"/>
      <c r="D75" s="126"/>
      <c r="E75" s="125"/>
    </row>
    <row r="77" spans="2:5" ht="15">
      <c r="B77" s="116" t="s">
        <v>122</v>
      </c>
      <c r="C77" s="79" t="s">
        <v>230</v>
      </c>
      <c r="D77"/>
    </row>
    <row r="78" spans="2:5" ht="15">
      <c r="B78" s="117" t="s">
        <v>6</v>
      </c>
      <c r="C78" s="306">
        <v>15</v>
      </c>
      <c r="D78"/>
    </row>
    <row r="79" spans="2:5" ht="15">
      <c r="B79" s="117" t="s">
        <v>123</v>
      </c>
      <c r="C79" s="306">
        <v>15</v>
      </c>
      <c r="D79"/>
    </row>
    <row r="80" spans="2:5" ht="15">
      <c r="B80"/>
      <c r="C80"/>
    </row>
    <row r="82" spans="2:3">
      <c r="B82" s="116" t="s">
        <v>122</v>
      </c>
      <c r="C82" s="79" t="s">
        <v>230</v>
      </c>
    </row>
    <row r="83" spans="2:3">
      <c r="B83" s="117" t="s">
        <v>6</v>
      </c>
      <c r="C83" s="306">
        <v>15</v>
      </c>
    </row>
    <row r="84" spans="2:3">
      <c r="B84" s="117" t="s">
        <v>123</v>
      </c>
      <c r="C84" s="306">
        <v>15</v>
      </c>
    </row>
    <row r="85" spans="2:3" ht="15">
      <c r="B85"/>
      <c r="C85"/>
    </row>
    <row r="87" spans="2:3">
      <c r="B87" s="116" t="s">
        <v>122</v>
      </c>
      <c r="C87" s="79" t="s">
        <v>230</v>
      </c>
    </row>
    <row r="88" spans="2:3">
      <c r="B88" s="117" t="s">
        <v>6</v>
      </c>
      <c r="C88" s="306">
        <v>15</v>
      </c>
    </row>
    <row r="89" spans="2:3">
      <c r="B89" s="117" t="s">
        <v>123</v>
      </c>
      <c r="C89" s="306">
        <v>15</v>
      </c>
    </row>
    <row r="90" spans="2:3" ht="15">
      <c r="B90"/>
      <c r="C90"/>
    </row>
    <row r="92" spans="2:3">
      <c r="B92" s="116" t="s">
        <v>122</v>
      </c>
      <c r="C92" s="79" t="s">
        <v>230</v>
      </c>
    </row>
    <row r="93" spans="2:3">
      <c r="B93" s="117" t="s">
        <v>6</v>
      </c>
      <c r="C93" s="306">
        <v>15</v>
      </c>
    </row>
    <row r="94" spans="2:3">
      <c r="B94" s="117" t="s">
        <v>123</v>
      </c>
      <c r="C94" s="306">
        <v>15</v>
      </c>
    </row>
    <row r="95" spans="2:3" ht="15">
      <c r="B95"/>
      <c r="C95"/>
    </row>
    <row r="97" spans="2:3">
      <c r="B97" s="116" t="s">
        <v>122</v>
      </c>
      <c r="C97" s="79" t="s">
        <v>230</v>
      </c>
    </row>
    <row r="98" spans="2:3">
      <c r="B98" s="117" t="s">
        <v>6</v>
      </c>
      <c r="C98" s="306">
        <v>15</v>
      </c>
    </row>
    <row r="99" spans="2:3">
      <c r="B99" s="117" t="s">
        <v>123</v>
      </c>
      <c r="C99" s="306">
        <v>15</v>
      </c>
    </row>
    <row r="100" spans="2:3" ht="15">
      <c r="B100"/>
      <c r="C100"/>
    </row>
  </sheetData>
  <mergeCells count="2">
    <mergeCell ref="B14:B15"/>
    <mergeCell ref="C14:E14"/>
  </mergeCells>
  <conditionalFormatting sqref="E16:E44">
    <cfRule type="cellIs" dxfId="3" priority="19" operator="lessThan">
      <formula>0</formula>
    </cfRule>
    <cfRule type="cellIs" dxfId="2" priority="20" operator="greaterThanOrEqual">
      <formula>0.0001</formula>
    </cfRule>
  </conditionalFormatting>
  <conditionalFormatting sqref="G16:G44">
    <cfRule type="cellIs" dxfId="1" priority="1" operator="lessThan">
      <formula>0</formula>
    </cfRule>
    <cfRule type="cellIs" dxfId="0" priority="2" operator="greaterThanOrEqual">
      <formula>0.00001</formula>
    </cfRule>
  </conditionalFormatting>
  <pageMargins left="0.7" right="0.7" top="0.75" bottom="0.75" header="0.3" footer="0.3"/>
  <pageSetup paperSize="9" orientation="portrait" r:id="rId6"/>
  <ignoredErrors>
    <ignoredError sqref="J4:J7" calculatedColumn="1"/>
    <ignoredError sqref="F18" formulaRange="1"/>
  </ignoredErrors>
  <drawing r:id="rId7"/>
  <legacyDrawing r:id="rId8"/>
  <tableParts count="1">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Instructions</vt:lpstr>
      <vt:lpstr>⏱ Input</vt:lpstr>
      <vt:lpstr>📊 Progress</vt:lpstr>
      <vt:lpstr>📊 Summary</vt:lpstr>
      <vt:lpstr>'📊 Progress'!Print_Area</vt:lpstr>
      <vt:lpst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user</cp:lastModifiedBy>
  <cp:lastPrinted>2022-06-28T06:51:26Z</cp:lastPrinted>
  <dcterms:created xsi:type="dcterms:W3CDTF">2017-08-10T18:49:10Z</dcterms:created>
  <dcterms:modified xsi:type="dcterms:W3CDTF">2024-12-07T06:00:49Z</dcterms:modified>
</cp:coreProperties>
</file>